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Cow-Calf Data Input" sheetId="1" r:id="rId1"/>
    <sheet name="Cow-Calf Budget" sheetId="2" r:id="rId2"/>
    <sheet name="Cow-Calf Sensitivity Budget" sheetId="3" r:id="rId3"/>
  </sheets>
  <externalReferences>
    <externalReference r:id="rId6"/>
    <externalReference r:id="rId7"/>
  </externalReferences>
  <definedNames>
    <definedName name="\AUTOEXEC">#REF!</definedName>
    <definedName name="\autoexeci">'[2]FesEst02'!$K$1</definedName>
    <definedName name="\l" localSheetId="1">#REF!</definedName>
    <definedName name="\l">#REF!</definedName>
    <definedName name="\p">#REF!</definedName>
    <definedName name="ANCHOR">#REF!</definedName>
    <definedName name="BTABLE">#REF!</definedName>
    <definedName name="BTABLE1">#REF!</definedName>
    <definedName name="CHEMICAL">#REF!</definedName>
    <definedName name="ETABLE">#REF!</definedName>
    <definedName name="FOOT">#REF!</definedName>
    <definedName name="FOOT1">#REF!</definedName>
    <definedName name="FOOTJC">#REF!</definedName>
    <definedName name="HEAD">#REF!</definedName>
    <definedName name="HELP">#REF!</definedName>
    <definedName name="HERB">#REF!</definedName>
    <definedName name="INFO">#REF!</definedName>
    <definedName name="INSECT" localSheetId="1">#REF!</definedName>
    <definedName name="INSECT">#REF!</definedName>
    <definedName name="INVEST">#REF!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MTABLE">#REF!</definedName>
    <definedName name="_xlnm.Print_Area" localSheetId="1">'Cow-Calf Budget'!$A$9:$N$66</definedName>
    <definedName name="_xlnm.Print_Area" localSheetId="0">'Cow-Calf Data Input'!$B$2:$P$144</definedName>
    <definedName name="_xlnm.Print_Area" localSheetId="2">'Cow-Calf Sensitivity Budget'!$A$3:$U$59</definedName>
    <definedName name="REF">#REF!</definedName>
    <definedName name="STABLE">#REF!</definedName>
    <definedName name="TRAC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<sst xmlns="http://schemas.openxmlformats.org/spreadsheetml/2006/main" count="422" uniqueCount="213">
  <si>
    <t>Data Entry Hi-Lited In Blue Cells</t>
  </si>
  <si>
    <t xml:space="preserve">Cow-Calf Enterprise Budget, </t>
  </si>
  <si>
    <t>Estimated</t>
  </si>
  <si>
    <t>Calculated</t>
  </si>
  <si>
    <t>A</t>
  </si>
  <si>
    <t>Returns Per Cow Per Year</t>
  </si>
  <si>
    <t>Breeding Information</t>
  </si>
  <si>
    <t>Values</t>
  </si>
  <si>
    <t>Weaning percent</t>
  </si>
  <si>
    <t>Calving season (fall, winter, spring, etc.)</t>
  </si>
  <si>
    <t>Average calf weight, lbs./calf</t>
  </si>
  <si>
    <t>Number of breeding cows in herd, head</t>
  </si>
  <si>
    <t>Total calf weight, lbs</t>
  </si>
  <si>
    <t>Heifers retained for replacements, %</t>
  </si>
  <si>
    <t>Average calf weight, lbs./cow-unit</t>
  </si>
  <si>
    <t>Number of breeding cows per bull, head</t>
  </si>
  <si>
    <t>Averge calf price, $/lb.</t>
  </si>
  <si>
    <t>Value of breeding cow, $/head</t>
  </si>
  <si>
    <t>Total cull cow weight, lbs.</t>
  </si>
  <si>
    <t>Value of bred replacement heifer, $/head</t>
  </si>
  <si>
    <t>$/hd</t>
  </si>
  <si>
    <t>Average cull cow weight, lbs./cow</t>
  </si>
  <si>
    <t>Value of bull, $/head</t>
  </si>
  <si>
    <t>Average cull cow weight, lbs./cow-unit</t>
  </si>
  <si>
    <t>Value of breeding stock, $/cow-unit</t>
  </si>
  <si>
    <t>$/cow-unit</t>
  </si>
  <si>
    <t>Average cull cow price, $/lb.</t>
  </si>
  <si>
    <t xml:space="preserve">   Gross returns, total $</t>
  </si>
  <si>
    <t>Insurance on breeding herd, %</t>
  </si>
  <si>
    <t>Average calf return, $/cow-unit</t>
  </si>
  <si>
    <t>Tax rate (ad valorem - property tax on cattle)</t>
  </si>
  <si>
    <t>Average cull cow return, $/cow-unit</t>
  </si>
  <si>
    <t xml:space="preserve">   Gross returns, $ per cow-unit</t>
  </si>
  <si>
    <t>B</t>
  </si>
  <si>
    <t>Performance Information</t>
  </si>
  <si>
    <t>Low</t>
  </si>
  <si>
    <t>Med</t>
  </si>
  <si>
    <t>High</t>
  </si>
  <si>
    <t>Costs Per Cow Per Year</t>
  </si>
  <si>
    <t>Pasture</t>
  </si>
  <si>
    <t>Weaning weight - steers, lbs/head</t>
  </si>
  <si>
    <t>Purchased feed</t>
  </si>
  <si>
    <t>Weaning weight - heifers, lbs/head</t>
  </si>
  <si>
    <t>Machinery &amp; equipment</t>
  </si>
  <si>
    <t>Percent steer calves, %</t>
  </si>
  <si>
    <t>Animal health</t>
  </si>
  <si>
    <t>Buildings/Improvements/Facilities-DIRT</t>
  </si>
  <si>
    <t>Percent cull cows, %</t>
  </si>
  <si>
    <t>Buildings/Improvements/Facilities-Interest</t>
  </si>
  <si>
    <t>Management</t>
  </si>
  <si>
    <t>Labor</t>
  </si>
  <si>
    <t>Market Price Information</t>
  </si>
  <si>
    <t>Custom hire</t>
  </si>
  <si>
    <t xml:space="preserve">Farm records </t>
  </si>
  <si>
    <t>Feeder steer prices, $/lb.</t>
  </si>
  <si>
    <t>Professional fees</t>
  </si>
  <si>
    <t>Utilities</t>
  </si>
  <si>
    <t>Feeder heifer prices, $/lb.</t>
  </si>
  <si>
    <t>Marketing fees</t>
  </si>
  <si>
    <t>Supplies</t>
  </si>
  <si>
    <t>Cull cow prices, $/lb.</t>
  </si>
  <si>
    <t>Replacement heifer capital cost</t>
  </si>
  <si>
    <t>Insurance on breeding stock</t>
  </si>
  <si>
    <t>Acres</t>
  </si>
  <si>
    <t>$/Acre</t>
  </si>
  <si>
    <t>Total $</t>
  </si>
  <si>
    <t>$/Cow-Unit</t>
  </si>
  <si>
    <t>Summer grass pastures</t>
  </si>
  <si>
    <t xml:space="preserve">   Cost per cow per year</t>
  </si>
  <si>
    <t>Winter grass pastures</t>
  </si>
  <si>
    <t>C</t>
  </si>
  <si>
    <t>Winter annuals</t>
  </si>
  <si>
    <t>Summer annuals</t>
  </si>
  <si>
    <t>D</t>
  </si>
  <si>
    <t>Stockpiled grass pasture</t>
  </si>
  <si>
    <t>Crop Residue</t>
  </si>
  <si>
    <t>To Cover Feed Costs, $/cwt.</t>
  </si>
  <si>
    <t>Misc. pasture</t>
  </si>
  <si>
    <t>E</t>
  </si>
  <si>
    <t xml:space="preserve">   Pasture cost total</t>
  </si>
  <si>
    <t>F</t>
  </si>
  <si>
    <t>Lbs/Hd.</t>
  </si>
  <si>
    <t>Total</t>
  </si>
  <si>
    <t>Dollars</t>
  </si>
  <si>
    <t>Net Return on Investment</t>
  </si>
  <si>
    <t>Purchased Feed Information</t>
  </si>
  <si>
    <t>/Day</t>
  </si>
  <si>
    <t>Days</t>
  </si>
  <si>
    <t>Head</t>
  </si>
  <si>
    <t>Lbs.</t>
  </si>
  <si>
    <t>/Ton</t>
  </si>
  <si>
    <t>Harvested forage</t>
  </si>
  <si>
    <t>Cow - dry</t>
  </si>
  <si>
    <t>Cow - lact.</t>
  </si>
  <si>
    <t>Calf</t>
  </si>
  <si>
    <t>Bull</t>
  </si>
  <si>
    <t>Energy supplement</t>
  </si>
  <si>
    <t>Cow</t>
  </si>
  <si>
    <t xml:space="preserve">Protein supplement </t>
  </si>
  <si>
    <t>Salt &amp; mineral mix</t>
  </si>
  <si>
    <t>All</t>
  </si>
  <si>
    <t>Misc.</t>
  </si>
  <si>
    <t xml:space="preserve">   Purchased feed cost total</t>
  </si>
  <si>
    <t>Machinery &amp; Equipment Information</t>
  </si>
  <si>
    <t>$/Hour</t>
  </si>
  <si>
    <t>Hours/Day</t>
  </si>
  <si>
    <t>Days/Year</t>
  </si>
  <si>
    <t>Tractor</t>
  </si>
  <si>
    <t>Tractor accessories (mower, harrow, etc.)</t>
  </si>
  <si>
    <t>Livestock trailer</t>
  </si>
  <si>
    <t>Utility trailer (hay, equipment, etc.)</t>
  </si>
  <si>
    <t>ATV</t>
  </si>
  <si>
    <t>Pickup</t>
  </si>
  <si>
    <t xml:space="preserve">   Machinery &amp; equipment cost total</t>
  </si>
  <si>
    <t>Animal Health Information</t>
  </si>
  <si>
    <t>Mature Cattle</t>
  </si>
  <si>
    <t>Unit</t>
  </si>
  <si>
    <t>$/Unit</t>
  </si>
  <si>
    <t>$/Head</t>
  </si>
  <si>
    <t>Tags  @</t>
  </si>
  <si>
    <t>/Each</t>
  </si>
  <si>
    <t>/Liter</t>
  </si>
  <si>
    <t>Dose @</t>
  </si>
  <si>
    <t>/Dose</t>
  </si>
  <si>
    <t>AI Breeding</t>
  </si>
  <si>
    <t>/Head</t>
  </si>
  <si>
    <t>Pregnancy Check</t>
  </si>
  <si>
    <t>Checks @</t>
  </si>
  <si>
    <t>Bull BSE</t>
  </si>
  <si>
    <t xml:space="preserve">   Sub-total</t>
  </si>
  <si>
    <t>Feeder Calves</t>
  </si>
  <si>
    <t>Doses @</t>
  </si>
  <si>
    <t xml:space="preserve">   Animal Health Cost Total</t>
  </si>
  <si>
    <t>Farm Bulidings/Improvements/Facilties Information</t>
  </si>
  <si>
    <t>Percent</t>
  </si>
  <si>
    <t>Life (yrs)</t>
  </si>
  <si>
    <t>Salvage %</t>
  </si>
  <si>
    <t>Total investment in buildings/improvements/facilities</t>
  </si>
  <si>
    <t>Buildings/improvements/facilities insurance rate</t>
  </si>
  <si>
    <t>Buildings/improvements/facilities interest rate</t>
  </si>
  <si>
    <t>Buildings/improvements/facilities tax rate</t>
  </si>
  <si>
    <t>Buildings/improvements/facilities repair rate</t>
  </si>
  <si>
    <t>Buildings/improvements/facilties depreciation</t>
  </si>
  <si>
    <t xml:space="preserve">   Farm Buildings/Improvements/Facilities Cost Total</t>
  </si>
  <si>
    <t>Miscellaneous Farm Information</t>
  </si>
  <si>
    <t>Hours</t>
  </si>
  <si>
    <t>$/Day</t>
  </si>
  <si>
    <t xml:space="preserve">Farm labor </t>
  </si>
  <si>
    <t>Farm records</t>
  </si>
  <si>
    <t>Interest rate on operating cost, %</t>
  </si>
  <si>
    <t xml:space="preserve">   Miscellaneous Farm Cost Total</t>
  </si>
  <si>
    <t xml:space="preserve">Cow-Calf Enterprise Sensitivity Budget, </t>
  </si>
  <si>
    <t>Calving, Alabama,</t>
  </si>
  <si>
    <t>Production year</t>
  </si>
  <si>
    <r>
      <t>Interest on operating cost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</si>
  <si>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r>
      <t>Asset Turnover Ratio (A/Investment)</t>
    </r>
    <r>
      <rPr>
        <b/>
        <vertAlign val="superscript"/>
        <sz val="12"/>
        <rFont val="Arial"/>
        <family val="2"/>
      </rPr>
      <t>2</t>
    </r>
  </si>
  <si>
    <r>
      <t>((C + B17 + B28+ B30)/Investment)</t>
    </r>
    <r>
      <rPr>
        <b/>
        <vertAlign val="superscript"/>
        <sz val="12"/>
        <rFont val="Arial"/>
        <family val="2"/>
      </rPr>
      <t>3</t>
    </r>
  </si>
  <si>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The asset turnover ratio measures the amount of sales that are generated from each dollar of assets. </t>
    </r>
  </si>
  <si>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The net return on investment is the percentage return on your investment. </t>
    </r>
  </si>
  <si>
    <t>Avg.--&gt;</t>
  </si>
  <si>
    <t>Pasture Information</t>
  </si>
  <si>
    <t>Returns Over Total Costs Per Cow Per Year</t>
  </si>
  <si>
    <t>Low Wt.</t>
  </si>
  <si>
    <t>Med. Wt.</t>
  </si>
  <si>
    <t>High Wt.</t>
  </si>
  <si>
    <t>Interest on breeding stock capital, %</t>
  </si>
  <si>
    <t>Interest on breeding stock capital</t>
  </si>
  <si>
    <t>Insurance &amp; Tax on breeding stock</t>
  </si>
  <si>
    <t>Salvage value of bull, $/head</t>
  </si>
  <si>
    <t>Useful life of bull, years</t>
  </si>
  <si>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Operating interest was charged on one-half of the cost per cow per year (Cow-calf budget, B20). </t>
    </r>
  </si>
  <si>
    <t>plus interest on operating capital (Cow-calf budget, B19) divided by the investment.</t>
  </si>
  <si>
    <t>To Cover Total Costs, $/cwt.</t>
  </si>
  <si>
    <t>Percent of</t>
  </si>
  <si>
    <t>Total Cost</t>
  </si>
  <si>
    <t>Weaning percent, % (based on exposed cows)</t>
  </si>
  <si>
    <t>Average cull cow sale weight, lbs/head</t>
  </si>
  <si>
    <t>Cull cow sale weight, lbs/head</t>
  </si>
  <si>
    <t>Feeder heifer weight, lbs/head</t>
  </si>
  <si>
    <t>Feeder steer weights, lbs/head</t>
  </si>
  <si>
    <t>Marketing costs, % of gross revenue</t>
  </si>
  <si>
    <t>Fly Tags</t>
  </si>
  <si>
    <t>Fly Tag</t>
  </si>
  <si>
    <t>ml./110 lbs*</t>
  </si>
  <si>
    <t>ml./100 lbs*</t>
  </si>
  <si>
    <t>Injectable Vitamin/Mineral</t>
  </si>
  <si>
    <t>Pasteurella/Mannheimia  with leukotoxoid</t>
  </si>
  <si>
    <t xml:space="preserve">   *Check product labels for correct dosages</t>
  </si>
  <si>
    <t xml:space="preserve">Total annual bull depreciation cost, $/hd/year </t>
  </si>
  <si>
    <t>% Chg.+/-</t>
  </si>
  <si>
    <t>Farm Name</t>
  </si>
  <si>
    <t>Input Data Assumptions For Cow-Calf Enterprise Budget</t>
  </si>
  <si>
    <t>Annual bull cost depreciation</t>
  </si>
  <si>
    <t>Fall</t>
  </si>
  <si>
    <t xml:space="preserve">building/improvements/facilities (Cow-calf budget, B6) plus interest on breeding stock (Cow-calf budget, B17) </t>
  </si>
  <si>
    <t xml:space="preserve">Net return on investment is the sum of returns over total costs (Cow-calf budget, C) plus interest on </t>
  </si>
  <si>
    <t>Asset Turnover Ratio is gross returns (A13) divided by the investment (value of the breeding stock/cow unit,</t>
  </si>
  <si>
    <t>improvements, and facilities/cow-unit,  Cow-calf data input, P110).</t>
  </si>
  <si>
    <t>Cow-calf data input, M14, value of equipment/cow-unit, Cow-calf data input, P75, and value of buildings,</t>
  </si>
  <si>
    <t xml:space="preserve">Misc. </t>
  </si>
  <si>
    <t>Animal ID</t>
  </si>
  <si>
    <t>De-wormer</t>
  </si>
  <si>
    <t>De-licer</t>
  </si>
  <si>
    <t>7-way clostridial vaccine</t>
  </si>
  <si>
    <t>Artificial Insemination</t>
  </si>
  <si>
    <t>Estrus Syncronization</t>
  </si>
  <si>
    <t>Estrus Syn</t>
  </si>
  <si>
    <r>
      <t xml:space="preserve">Misc. </t>
    </r>
    <r>
      <rPr>
        <b/>
        <sz val="11"/>
        <rFont val="Arial"/>
        <family val="2"/>
      </rPr>
      <t>(incl. supplies &amp; vet. exp.)</t>
    </r>
  </si>
  <si>
    <r>
      <t xml:space="preserve">IBR PI3 BVD BRSV </t>
    </r>
    <r>
      <rPr>
        <b/>
        <sz val="10"/>
        <rFont val="Arial"/>
        <family val="2"/>
      </rPr>
      <t>VL5 vaccine</t>
    </r>
  </si>
  <si>
    <t>IBR PI3 BVD BRSV vaccine</t>
  </si>
  <si>
    <t>Growth-promoting implant</t>
  </si>
  <si>
    <t>Average Feeder Calf Price Needed Per Cwt.</t>
  </si>
  <si>
    <t>War Eagle Farms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</si>
</sst>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0_)"/>
    <numFmt numFmtId="169" formatCode="0.00_)"/>
    <numFmt numFmtId="170" formatCode="_(* #,##0.0_);_(* \(#,##0.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30"/>
      <name val="Arial"/>
      <family val="2"/>
    </font>
    <font>
      <b/>
      <sz val="14"/>
      <color indexed="30"/>
      <name val="Arial"/>
      <family val="2"/>
    </font>
    <font>
      <b/>
      <sz val="18"/>
      <color indexed="30"/>
      <name val="Arial"/>
      <family val="2"/>
    </font>
    <font>
      <sz val="18"/>
      <color indexed="8"/>
      <name val="Arial"/>
      <family val="2"/>
    </font>
    <font>
      <b/>
      <sz val="22"/>
      <color indexed="3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Arial"/>
      <family val="2"/>
    </font>
    <font>
      <b/>
      <sz val="14"/>
      <color rgb="FF0070C0"/>
      <name val="Arial"/>
      <family val="2"/>
    </font>
    <font>
      <b/>
      <sz val="18"/>
      <color rgb="FF0070C0"/>
      <name val="Arial"/>
      <family val="2"/>
    </font>
    <font>
      <sz val="18"/>
      <color theme="1"/>
      <name val="Arial"/>
      <family val="2"/>
    </font>
    <font>
      <b/>
      <sz val="22"/>
      <color rgb="FF0070C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8" fillId="0" borderId="0" xfId="0" applyFont="1" applyAlignment="1">
      <alignment/>
    </xf>
    <xf numFmtId="10" fontId="58" fillId="0" borderId="0" xfId="59" applyNumberFormat="1" applyFont="1" applyAlignment="1">
      <alignment/>
    </xf>
    <xf numFmtId="166" fontId="58" fillId="0" borderId="0" xfId="59" applyNumberFormat="1" applyFont="1" applyAlignment="1">
      <alignment/>
    </xf>
    <xf numFmtId="165" fontId="58" fillId="0" borderId="0" xfId="0" applyNumberFormat="1" applyFont="1" applyAlignment="1">
      <alignment/>
    </xf>
    <xf numFmtId="168" fontId="58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64" fontId="58" fillId="0" borderId="0" xfId="42" applyNumberFormat="1" applyFont="1" applyAlignment="1">
      <alignment/>
    </xf>
    <xf numFmtId="0" fontId="5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2" applyNumberFormat="1" applyFont="1" applyFill="1" applyAlignment="1">
      <alignment/>
    </xf>
    <xf numFmtId="37" fontId="5" fillId="0" borderId="0" xfId="0" applyNumberFormat="1" applyFont="1" applyAlignment="1">
      <alignment/>
    </xf>
    <xf numFmtId="167" fontId="5" fillId="0" borderId="0" xfId="59" applyNumberFormat="1" applyFont="1" applyAlignment="1">
      <alignment/>
    </xf>
    <xf numFmtId="0" fontId="5" fillId="0" borderId="0" xfId="0" applyFont="1" applyAlignment="1" quotePrefix="1">
      <alignment/>
    </xf>
    <xf numFmtId="166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9" fontId="5" fillId="0" borderId="0" xfId="59" applyFont="1" applyFill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4" xfId="0" applyFont="1" applyBorder="1" applyAlignment="1">
      <alignment/>
    </xf>
    <xf numFmtId="9" fontId="58" fillId="0" borderId="14" xfId="59" applyNumberFormat="1" applyFont="1" applyBorder="1" applyAlignment="1">
      <alignment/>
    </xf>
    <xf numFmtId="166" fontId="58" fillId="0" borderId="14" xfId="0" applyNumberFormat="1" applyFont="1" applyBorder="1" applyAlignment="1">
      <alignment/>
    </xf>
    <xf numFmtId="10" fontId="58" fillId="0" borderId="14" xfId="59" applyNumberFormat="1" applyFont="1" applyBorder="1" applyAlignment="1">
      <alignment/>
    </xf>
    <xf numFmtId="9" fontId="58" fillId="0" borderId="14" xfId="59" applyFont="1" applyBorder="1" applyAlignment="1">
      <alignment/>
    </xf>
    <xf numFmtId="37" fontId="58" fillId="0" borderId="14" xfId="42" applyNumberFormat="1" applyFont="1" applyBorder="1" applyAlignment="1">
      <alignment/>
    </xf>
    <xf numFmtId="165" fontId="58" fillId="0" borderId="14" xfId="0" applyNumberFormat="1" applyFont="1" applyBorder="1" applyAlignment="1">
      <alignment/>
    </xf>
    <xf numFmtId="168" fontId="58" fillId="0" borderId="14" xfId="0" applyNumberFormat="1" applyFont="1" applyBorder="1" applyAlignment="1">
      <alignment/>
    </xf>
    <xf numFmtId="164" fontId="58" fillId="0" borderId="14" xfId="42" applyNumberFormat="1" applyFont="1" applyBorder="1" applyAlignment="1">
      <alignment/>
    </xf>
    <xf numFmtId="9" fontId="58" fillId="0" borderId="14" xfId="59" applyFont="1" applyBorder="1" applyAlignment="1">
      <alignment horizontal="center"/>
    </xf>
    <xf numFmtId="164" fontId="58" fillId="0" borderId="12" xfId="42" applyNumberFormat="1" applyFont="1" applyBorder="1" applyAlignment="1">
      <alignment/>
    </xf>
    <xf numFmtId="0" fontId="5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33" borderId="0" xfId="0" applyFont="1" applyFill="1" applyAlignment="1">
      <alignment/>
    </xf>
    <xf numFmtId="164" fontId="5" fillId="33" borderId="0" xfId="42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37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9" fontId="5" fillId="33" borderId="0" xfId="59" applyFont="1" applyFill="1" applyAlignment="1">
      <alignment/>
    </xf>
    <xf numFmtId="167" fontId="5" fillId="33" borderId="0" xfId="0" applyNumberFormat="1" applyFont="1" applyFill="1" applyAlignment="1">
      <alignment/>
    </xf>
    <xf numFmtId="0" fontId="60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6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9" fontId="9" fillId="0" borderId="19" xfId="59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9" fontId="9" fillId="0" borderId="20" xfId="59" applyFont="1" applyBorder="1" applyAlignment="1">
      <alignment horizontal="center"/>
    </xf>
    <xf numFmtId="1" fontId="9" fillId="0" borderId="19" xfId="59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" fontId="9" fillId="0" borderId="20" xfId="59" applyNumberFormat="1" applyFont="1" applyBorder="1" applyAlignment="1">
      <alignment horizontal="center"/>
    </xf>
    <xf numFmtId="1" fontId="9" fillId="0" borderId="21" xfId="59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" fontId="9" fillId="0" borderId="22" xfId="59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37" fontId="9" fillId="0" borderId="0" xfId="42" applyNumberFormat="1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164" fontId="9" fillId="0" borderId="0" xfId="42" applyNumberFormat="1" applyFon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2" fontId="9" fillId="0" borderId="0" xfId="0" applyNumberFormat="1" applyFont="1" applyAlignment="1" quotePrefix="1">
      <alignment/>
    </xf>
    <xf numFmtId="2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0</xdr:rowOff>
    </xdr:from>
    <xdr:to>
      <xdr:col>11</xdr:col>
      <xdr:colOff>180975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53911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0</xdr:rowOff>
    </xdr:from>
    <xdr:to>
      <xdr:col>11</xdr:col>
      <xdr:colOff>209550</xdr:colOff>
      <xdr:row>6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53911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0</xdr:rowOff>
    </xdr:from>
    <xdr:to>
      <xdr:col>15</xdr:col>
      <xdr:colOff>219075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53149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ces.edu/Documents%20and%20Settings\prevajw\Desktop\CowCalfRaised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g.auburn.edu/Documents%20and%20Settings\User\My%20Documents\Davis,%20MA\Buds2002\FalForage02\fal%20forage%202002-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wCalfRaiseRepl-BullUnit  "/>
      <sheetName val="CowCalfPurRepl-BullUnit"/>
      <sheetName val="GrassPasture"/>
      <sheetName val="GrassCloverPasture"/>
      <sheetName val="SmGrnRyegrass"/>
      <sheetName val="ACA Mag Art"/>
      <sheetName val="Sheet1"/>
      <sheetName val="SENSITIVITY"/>
      <sheetName val="CCInpu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3"/>
  <sheetViews>
    <sheetView showGridLines="0" zoomScale="90" zoomScaleNormal="90" zoomScalePageLayoutView="0" workbookViewId="0" topLeftCell="A1">
      <selection activeCell="J15" sqref="J15"/>
    </sheetView>
  </sheetViews>
  <sheetFormatPr defaultColWidth="9.140625" defaultRowHeight="12.75"/>
  <cols>
    <col min="1" max="1" width="2.57421875" style="71" customWidth="1"/>
    <col min="2" max="7" width="9.140625" style="71" customWidth="1"/>
    <col min="8" max="8" width="12.7109375" style="71" customWidth="1"/>
    <col min="9" max="14" width="13.7109375" style="71" customWidth="1"/>
    <col min="15" max="15" width="3.7109375" style="71" customWidth="1"/>
    <col min="16" max="17" width="13.7109375" style="71" customWidth="1"/>
    <col min="18" max="18" width="4.8515625" style="72" customWidth="1"/>
    <col min="19" max="19" width="9.140625" style="71" customWidth="1"/>
    <col min="20" max="20" width="4.28125" style="71" customWidth="1"/>
    <col min="21" max="24" width="9.140625" style="71" customWidth="1"/>
    <col min="25" max="25" width="5.140625" style="71" customWidth="1"/>
    <col min="26" max="26" width="9.8515625" style="71" bestFit="1" customWidth="1"/>
    <col min="27" max="29" width="12.7109375" style="71" customWidth="1"/>
    <col min="30" max="30" width="4.421875" style="71" customWidth="1"/>
    <col min="31" max="33" width="12.7109375" style="71" customWidth="1"/>
    <col min="34" max="34" width="4.00390625" style="71" customWidth="1"/>
    <col min="35" max="37" width="12.7109375" style="71" customWidth="1"/>
    <col min="38" max="38" width="5.421875" style="71" customWidth="1"/>
    <col min="39" max="16384" width="9.140625" style="71" customWidth="1"/>
  </cols>
  <sheetData>
    <row r="1" ht="18"/>
    <row r="2" ht="45">
      <c r="I2" s="109"/>
    </row>
    <row r="3" ht="45">
      <c r="I3" s="109"/>
    </row>
    <row r="4" ht="45">
      <c r="I4" s="109"/>
    </row>
    <row r="5" ht="35.25">
      <c r="B5" s="1" t="s">
        <v>191</v>
      </c>
    </row>
    <row r="6" spans="2:11" ht="30">
      <c r="B6" s="4"/>
      <c r="F6" s="73"/>
      <c r="G6" s="74"/>
      <c r="H6" s="74"/>
      <c r="I6" s="6" t="s">
        <v>0</v>
      </c>
      <c r="J6" s="74"/>
      <c r="K6" s="75"/>
    </row>
    <row r="8" spans="10:13" ht="18">
      <c r="J8" s="76" t="s">
        <v>2</v>
      </c>
      <c r="K8" s="76"/>
      <c r="M8" s="76" t="s">
        <v>3</v>
      </c>
    </row>
    <row r="9" spans="2:13" ht="18">
      <c r="B9" s="71" t="s">
        <v>6</v>
      </c>
      <c r="J9" s="76" t="s">
        <v>7</v>
      </c>
      <c r="K9" s="76"/>
      <c r="M9" s="76" t="s">
        <v>7</v>
      </c>
    </row>
    <row r="10" spans="3:13" ht="18">
      <c r="C10" s="71" t="s">
        <v>190</v>
      </c>
      <c r="I10" s="77"/>
      <c r="J10" s="17" t="s">
        <v>212</v>
      </c>
      <c r="K10" s="78"/>
      <c r="M10" s="76"/>
    </row>
    <row r="11" spans="3:13" ht="18">
      <c r="C11" s="71" t="s">
        <v>153</v>
      </c>
      <c r="J11" s="64">
        <v>2017</v>
      </c>
      <c r="K11" s="76"/>
      <c r="M11" s="76"/>
    </row>
    <row r="12" spans="3:13" ht="18">
      <c r="C12" s="71" t="s">
        <v>9</v>
      </c>
      <c r="J12" s="41" t="s">
        <v>193</v>
      </c>
      <c r="K12" s="76"/>
      <c r="M12" s="76"/>
    </row>
    <row r="13" spans="3:10" ht="18">
      <c r="C13" s="71" t="s">
        <v>11</v>
      </c>
      <c r="J13" s="42">
        <v>50</v>
      </c>
    </row>
    <row r="14" spans="3:10" ht="18">
      <c r="C14" s="71" t="s">
        <v>13</v>
      </c>
      <c r="J14" s="43">
        <v>0.1</v>
      </c>
    </row>
    <row r="15" spans="3:10" ht="18">
      <c r="C15" s="71" t="s">
        <v>15</v>
      </c>
      <c r="J15" s="42">
        <v>25</v>
      </c>
    </row>
    <row r="16" spans="3:10" ht="18">
      <c r="C16" s="71" t="s">
        <v>17</v>
      </c>
      <c r="J16" s="44">
        <v>1000</v>
      </c>
    </row>
    <row r="17" spans="3:14" ht="18">
      <c r="C17" s="71" t="s">
        <v>19</v>
      </c>
      <c r="J17" s="44">
        <v>1500</v>
      </c>
      <c r="M17" s="79">
        <f>J14*J17</f>
        <v>150</v>
      </c>
      <c r="N17" s="71" t="s">
        <v>20</v>
      </c>
    </row>
    <row r="18" spans="3:10" ht="18">
      <c r="C18" s="71" t="s">
        <v>22</v>
      </c>
      <c r="J18" s="44">
        <v>4500</v>
      </c>
    </row>
    <row r="19" spans="3:10" ht="18">
      <c r="C19" s="71" t="s">
        <v>168</v>
      </c>
      <c r="J19" s="44">
        <v>1200</v>
      </c>
    </row>
    <row r="20" spans="3:10" ht="18">
      <c r="C20" s="71" t="s">
        <v>169</v>
      </c>
      <c r="J20" s="50">
        <v>4</v>
      </c>
    </row>
    <row r="21" spans="3:14" ht="18">
      <c r="C21" s="71" t="s">
        <v>24</v>
      </c>
      <c r="J21" s="10"/>
      <c r="M21" s="79">
        <f>(J16*(1-J14)*J13+J17*(J14)*J13+J18*(J13/J15))/J13</f>
        <v>1230</v>
      </c>
      <c r="N21" s="71" t="s">
        <v>25</v>
      </c>
    </row>
    <row r="22" spans="3:10" ht="18">
      <c r="C22" s="71" t="s">
        <v>165</v>
      </c>
      <c r="J22" s="45">
        <v>0.055</v>
      </c>
    </row>
    <row r="23" spans="3:10" ht="18">
      <c r="C23" s="71" t="s">
        <v>28</v>
      </c>
      <c r="J23" s="45">
        <v>0</v>
      </c>
    </row>
    <row r="24" spans="3:10" ht="18">
      <c r="C24" s="71" t="s">
        <v>30</v>
      </c>
      <c r="J24" s="45">
        <v>0</v>
      </c>
    </row>
    <row r="25" spans="3:14" ht="18">
      <c r="C25" s="71" t="s">
        <v>188</v>
      </c>
      <c r="J25" s="12"/>
      <c r="M25" s="80">
        <f>((J13/J15)*((J18-J19)/J20))/J13</f>
        <v>33</v>
      </c>
      <c r="N25" s="71" t="s">
        <v>25</v>
      </c>
    </row>
    <row r="27" spans="2:14" ht="18">
      <c r="B27" s="71" t="s">
        <v>34</v>
      </c>
      <c r="I27" s="76"/>
      <c r="J27" s="76"/>
      <c r="K27" s="76" t="s">
        <v>189</v>
      </c>
      <c r="L27" s="81" t="s">
        <v>35</v>
      </c>
      <c r="M27" s="82" t="s">
        <v>36</v>
      </c>
      <c r="N27" s="83" t="s">
        <v>37</v>
      </c>
    </row>
    <row r="28" spans="3:14" ht="18">
      <c r="C28" s="71" t="s">
        <v>175</v>
      </c>
      <c r="J28" s="46">
        <v>0.9</v>
      </c>
      <c r="K28" s="51">
        <v>0.05</v>
      </c>
      <c r="L28" s="84">
        <f>J28-K28</f>
        <v>0.85</v>
      </c>
      <c r="M28" s="85">
        <f>J28</f>
        <v>0.9</v>
      </c>
      <c r="N28" s="86">
        <f>J28+K28</f>
        <v>0.9500000000000001</v>
      </c>
    </row>
    <row r="29" spans="3:14" ht="18">
      <c r="C29" s="71" t="s">
        <v>40</v>
      </c>
      <c r="J29" s="42">
        <v>650</v>
      </c>
      <c r="K29" s="51">
        <v>0.2</v>
      </c>
      <c r="L29" s="87">
        <f>$J$29*(1-$K$29)</f>
        <v>520</v>
      </c>
      <c r="M29" s="88">
        <f>J29</f>
        <v>650</v>
      </c>
      <c r="N29" s="89">
        <f>$J$29*(1+$K$29)</f>
        <v>780</v>
      </c>
    </row>
    <row r="30" spans="3:14" ht="18">
      <c r="C30" s="71" t="s">
        <v>42</v>
      </c>
      <c r="J30" s="42">
        <v>600</v>
      </c>
      <c r="K30" s="51">
        <v>0.2</v>
      </c>
      <c r="L30" s="90">
        <f>J30*(1-K30)</f>
        <v>480</v>
      </c>
      <c r="M30" s="91">
        <f>J30</f>
        <v>600</v>
      </c>
      <c r="N30" s="92">
        <f>$J$30*(1+$K$30)</f>
        <v>720</v>
      </c>
    </row>
    <row r="31" spans="3:14" ht="18">
      <c r="C31" s="71" t="s">
        <v>44</v>
      </c>
      <c r="I31" s="10"/>
      <c r="J31" s="46">
        <v>0.5</v>
      </c>
      <c r="K31" s="93" t="s">
        <v>159</v>
      </c>
      <c r="L31" s="94">
        <f>L29*$J$31+L30*(1-$J$31)</f>
        <v>500</v>
      </c>
      <c r="M31" s="95">
        <f>M29*$J$31+M30*(1-$J$31)</f>
        <v>625</v>
      </c>
      <c r="N31" s="96">
        <f>N29*$J$31+N30*(1-$J$31)</f>
        <v>750</v>
      </c>
    </row>
    <row r="32" spans="3:11" ht="18">
      <c r="C32" s="71" t="s">
        <v>176</v>
      </c>
      <c r="I32" s="10"/>
      <c r="J32" s="47">
        <v>1100</v>
      </c>
      <c r="K32" s="10"/>
    </row>
    <row r="33" spans="3:11" ht="18">
      <c r="C33" s="71" t="s">
        <v>47</v>
      </c>
      <c r="I33" s="10"/>
      <c r="J33" s="46">
        <v>0.14</v>
      </c>
      <c r="K33" s="10"/>
    </row>
    <row r="36" spans="2:11" ht="18">
      <c r="B36" s="71" t="s">
        <v>51</v>
      </c>
      <c r="I36" s="76" t="s">
        <v>162</v>
      </c>
      <c r="J36" s="76" t="s">
        <v>163</v>
      </c>
      <c r="K36" s="76" t="s">
        <v>164</v>
      </c>
    </row>
    <row r="37" spans="3:11" ht="18">
      <c r="C37" s="71" t="s">
        <v>179</v>
      </c>
      <c r="I37" s="97">
        <f>L29</f>
        <v>520</v>
      </c>
      <c r="J37" s="97">
        <f>J29</f>
        <v>650</v>
      </c>
      <c r="K37" s="97">
        <f>N29</f>
        <v>780</v>
      </c>
    </row>
    <row r="38" spans="3:11" ht="18">
      <c r="C38" s="71" t="s">
        <v>54</v>
      </c>
      <c r="I38" s="48">
        <v>1.55</v>
      </c>
      <c r="J38" s="48">
        <v>1.45</v>
      </c>
      <c r="K38" s="48">
        <v>1.35</v>
      </c>
    </row>
    <row r="39" spans="3:11" ht="18">
      <c r="C39" s="71" t="s">
        <v>178</v>
      </c>
      <c r="I39" s="97">
        <f>L30</f>
        <v>480</v>
      </c>
      <c r="J39" s="97">
        <f>J30</f>
        <v>600</v>
      </c>
      <c r="K39" s="97">
        <f>N30</f>
        <v>720</v>
      </c>
    </row>
    <row r="40" spans="3:11" ht="18">
      <c r="C40" s="71" t="s">
        <v>57</v>
      </c>
      <c r="I40" s="48">
        <v>1.45</v>
      </c>
      <c r="J40" s="48">
        <v>1.35</v>
      </c>
      <c r="K40" s="48">
        <v>1.25</v>
      </c>
    </row>
    <row r="41" spans="3:11" ht="18">
      <c r="C41" s="71" t="s">
        <v>177</v>
      </c>
      <c r="I41" s="10"/>
      <c r="J41" s="98">
        <f>J32</f>
        <v>1100</v>
      </c>
      <c r="K41" s="13"/>
    </row>
    <row r="42" spans="3:10" ht="18">
      <c r="C42" s="71" t="s">
        <v>60</v>
      </c>
      <c r="J42" s="48">
        <v>0.65</v>
      </c>
    </row>
    <row r="43" spans="3:10" ht="18">
      <c r="C43" s="71" t="s">
        <v>180</v>
      </c>
      <c r="J43" s="45">
        <v>0.04</v>
      </c>
    </row>
    <row r="45" spans="12:17" ht="18">
      <c r="L45" s="76"/>
      <c r="M45" s="76"/>
      <c r="N45" s="76"/>
      <c r="O45" s="76"/>
      <c r="P45" s="76"/>
      <c r="Q45" s="76"/>
    </row>
    <row r="46" spans="2:17" ht="18">
      <c r="B46" s="71" t="s">
        <v>160</v>
      </c>
      <c r="L46" s="76" t="s">
        <v>63</v>
      </c>
      <c r="M46" s="76" t="s">
        <v>64</v>
      </c>
      <c r="N46" s="76" t="s">
        <v>65</v>
      </c>
      <c r="O46" s="76"/>
      <c r="P46" s="76" t="s">
        <v>66</v>
      </c>
      <c r="Q46" s="76"/>
    </row>
    <row r="47" spans="3:17" ht="18">
      <c r="C47" s="71" t="s">
        <v>67</v>
      </c>
      <c r="L47" s="42">
        <v>65</v>
      </c>
      <c r="M47" s="44">
        <v>163.49</v>
      </c>
      <c r="N47" s="79">
        <f aca="true" t="shared" si="0" ref="N47:N53">L47*M47</f>
        <v>10626.85</v>
      </c>
      <c r="O47" s="79"/>
      <c r="P47" s="80">
        <f aca="true" t="shared" si="1" ref="P47:P53">N47/$J$13</f>
        <v>212.537</v>
      </c>
      <c r="Q47" s="80"/>
    </row>
    <row r="48" spans="3:17" ht="18">
      <c r="C48" s="71" t="s">
        <v>69</v>
      </c>
      <c r="L48" s="42">
        <v>0</v>
      </c>
      <c r="M48" s="44">
        <v>164.71</v>
      </c>
      <c r="N48" s="79">
        <f t="shared" si="0"/>
        <v>0</v>
      </c>
      <c r="O48" s="79"/>
      <c r="P48" s="80">
        <f t="shared" si="1"/>
        <v>0</v>
      </c>
      <c r="Q48" s="80"/>
    </row>
    <row r="49" spans="3:17" ht="18">
      <c r="C49" s="71" t="s">
        <v>71</v>
      </c>
      <c r="L49" s="42">
        <v>25</v>
      </c>
      <c r="M49" s="44">
        <v>164.86</v>
      </c>
      <c r="N49" s="79">
        <f t="shared" si="0"/>
        <v>4121.5</v>
      </c>
      <c r="O49" s="79"/>
      <c r="P49" s="80">
        <f t="shared" si="1"/>
        <v>82.43</v>
      </c>
      <c r="Q49" s="80"/>
    </row>
    <row r="50" spans="3:17" ht="18">
      <c r="C50" s="71" t="s">
        <v>72</v>
      </c>
      <c r="L50" s="42">
        <v>0</v>
      </c>
      <c r="M50" s="44">
        <v>0</v>
      </c>
      <c r="N50" s="79">
        <f t="shared" si="0"/>
        <v>0</v>
      </c>
      <c r="O50" s="79"/>
      <c r="P50" s="80">
        <f t="shared" si="1"/>
        <v>0</v>
      </c>
      <c r="Q50" s="80"/>
    </row>
    <row r="51" spans="3:17" ht="18">
      <c r="C51" s="71" t="s">
        <v>74</v>
      </c>
      <c r="L51" s="42">
        <v>0</v>
      </c>
      <c r="M51" s="44">
        <v>0</v>
      </c>
      <c r="N51" s="79">
        <f t="shared" si="0"/>
        <v>0</v>
      </c>
      <c r="O51" s="79"/>
      <c r="P51" s="80">
        <f t="shared" si="1"/>
        <v>0</v>
      </c>
      <c r="Q51" s="80"/>
    </row>
    <row r="52" spans="3:17" ht="18">
      <c r="C52" s="71" t="s">
        <v>75</v>
      </c>
      <c r="L52" s="42">
        <v>0</v>
      </c>
      <c r="M52" s="44">
        <v>0</v>
      </c>
      <c r="N52" s="79">
        <f t="shared" si="0"/>
        <v>0</v>
      </c>
      <c r="O52" s="79"/>
      <c r="P52" s="80">
        <f t="shared" si="1"/>
        <v>0</v>
      </c>
      <c r="Q52" s="80"/>
    </row>
    <row r="53" spans="3:17" ht="18">
      <c r="C53" s="71" t="s">
        <v>77</v>
      </c>
      <c r="L53" s="42">
        <v>0</v>
      </c>
      <c r="M53" s="44">
        <v>0</v>
      </c>
      <c r="N53" s="79">
        <f t="shared" si="0"/>
        <v>0</v>
      </c>
      <c r="O53" s="79"/>
      <c r="P53" s="80">
        <f t="shared" si="1"/>
        <v>0</v>
      </c>
      <c r="Q53" s="80"/>
    </row>
    <row r="54" spans="13:17" ht="18">
      <c r="M54" s="79"/>
      <c r="N54" s="79"/>
      <c r="O54" s="79"/>
      <c r="P54" s="80"/>
      <c r="Q54" s="80"/>
    </row>
    <row r="55" spans="3:17" ht="18">
      <c r="C55" s="99" t="s">
        <v>79</v>
      </c>
      <c r="M55" s="79"/>
      <c r="N55" s="79">
        <f>SUM(N47:N54)</f>
        <v>14748.35</v>
      </c>
      <c r="O55" s="79"/>
      <c r="P55" s="80">
        <f>SUM(P47:P54)</f>
        <v>294.967</v>
      </c>
      <c r="Q55" s="80"/>
    </row>
    <row r="57" spans="9:17" ht="18">
      <c r="I57" s="76" t="s">
        <v>81</v>
      </c>
      <c r="J57" s="76"/>
      <c r="K57" s="76"/>
      <c r="L57" s="76" t="s">
        <v>82</v>
      </c>
      <c r="M57" s="76" t="s">
        <v>83</v>
      </c>
      <c r="N57" s="76" t="s">
        <v>82</v>
      </c>
      <c r="O57" s="76"/>
      <c r="P57" s="76"/>
      <c r="Q57" s="100"/>
    </row>
    <row r="58" spans="2:17" ht="18">
      <c r="B58" s="71" t="s">
        <v>85</v>
      </c>
      <c r="I58" s="101" t="s">
        <v>86</v>
      </c>
      <c r="J58" s="76" t="s">
        <v>87</v>
      </c>
      <c r="K58" s="76" t="s">
        <v>88</v>
      </c>
      <c r="L58" s="76" t="s">
        <v>89</v>
      </c>
      <c r="M58" s="101" t="s">
        <v>90</v>
      </c>
      <c r="N58" s="76" t="s">
        <v>83</v>
      </c>
      <c r="O58" s="76"/>
      <c r="P58" s="76" t="s">
        <v>66</v>
      </c>
      <c r="Q58" s="76"/>
    </row>
    <row r="59" spans="3:17" ht="18">
      <c r="C59" s="71" t="s">
        <v>91</v>
      </c>
      <c r="G59" s="71" t="s">
        <v>92</v>
      </c>
      <c r="I59" s="42">
        <v>20</v>
      </c>
      <c r="J59" s="42">
        <v>30</v>
      </c>
      <c r="K59" s="42">
        <f>J13</f>
        <v>50</v>
      </c>
      <c r="L59" s="102">
        <f aca="true" t="shared" si="2" ref="L59:L69">I59*J59*K59</f>
        <v>30000</v>
      </c>
      <c r="M59" s="48">
        <v>75</v>
      </c>
      <c r="N59" s="80">
        <f aca="true" t="shared" si="3" ref="N59:N69">L59/2000*M59</f>
        <v>1125</v>
      </c>
      <c r="O59" s="80"/>
      <c r="P59" s="80">
        <f aca="true" t="shared" si="4" ref="P59:P69">N59/$J$13</f>
        <v>22.5</v>
      </c>
      <c r="Q59" s="80"/>
    </row>
    <row r="60" spans="3:17" ht="18">
      <c r="C60" s="71" t="s">
        <v>91</v>
      </c>
      <c r="G60" s="71" t="s">
        <v>93</v>
      </c>
      <c r="I60" s="42">
        <v>15</v>
      </c>
      <c r="J60" s="42">
        <v>60</v>
      </c>
      <c r="K60" s="42">
        <f>J13</f>
        <v>50</v>
      </c>
      <c r="L60" s="102">
        <f t="shared" si="2"/>
        <v>45000</v>
      </c>
      <c r="M60" s="48">
        <v>75</v>
      </c>
      <c r="N60" s="80">
        <f t="shared" si="3"/>
        <v>1687.5</v>
      </c>
      <c r="O60" s="80"/>
      <c r="P60" s="80">
        <f t="shared" si="4"/>
        <v>33.75</v>
      </c>
      <c r="Q60" s="80"/>
    </row>
    <row r="61" spans="3:17" ht="18">
      <c r="C61" s="71" t="s">
        <v>91</v>
      </c>
      <c r="G61" s="71" t="s">
        <v>94</v>
      </c>
      <c r="I61" s="42">
        <v>3</v>
      </c>
      <c r="J61" s="42">
        <v>60</v>
      </c>
      <c r="K61" s="42">
        <f>J13</f>
        <v>50</v>
      </c>
      <c r="L61" s="102">
        <f t="shared" si="2"/>
        <v>9000</v>
      </c>
      <c r="M61" s="48">
        <v>75</v>
      </c>
      <c r="N61" s="80">
        <f t="shared" si="3"/>
        <v>337.5</v>
      </c>
      <c r="O61" s="80"/>
      <c r="P61" s="80">
        <f t="shared" si="4"/>
        <v>6.75</v>
      </c>
      <c r="Q61" s="80"/>
    </row>
    <row r="62" spans="3:17" ht="18">
      <c r="C62" s="71" t="s">
        <v>91</v>
      </c>
      <c r="G62" s="71" t="s">
        <v>95</v>
      </c>
      <c r="I62" s="42">
        <v>30</v>
      </c>
      <c r="J62" s="42">
        <v>90</v>
      </c>
      <c r="K62" s="42">
        <v>2</v>
      </c>
      <c r="L62" s="102">
        <f t="shared" si="2"/>
        <v>5400</v>
      </c>
      <c r="M62" s="48">
        <v>75</v>
      </c>
      <c r="N62" s="80">
        <f t="shared" si="3"/>
        <v>202.5</v>
      </c>
      <c r="O62" s="80"/>
      <c r="P62" s="80">
        <f t="shared" si="4"/>
        <v>4.05</v>
      </c>
      <c r="Q62" s="80"/>
    </row>
    <row r="63" spans="3:17" ht="18">
      <c r="C63" s="71" t="s">
        <v>96</v>
      </c>
      <c r="G63" s="71" t="s">
        <v>97</v>
      </c>
      <c r="I63" s="42">
        <v>4</v>
      </c>
      <c r="J63" s="42">
        <v>60</v>
      </c>
      <c r="K63" s="42">
        <v>50</v>
      </c>
      <c r="L63" s="102">
        <f t="shared" si="2"/>
        <v>12000</v>
      </c>
      <c r="M63" s="48">
        <v>125</v>
      </c>
      <c r="N63" s="80">
        <f t="shared" si="3"/>
        <v>750</v>
      </c>
      <c r="O63" s="80"/>
      <c r="P63" s="80">
        <f t="shared" si="4"/>
        <v>15</v>
      </c>
      <c r="Q63" s="80"/>
    </row>
    <row r="64" spans="3:17" ht="18">
      <c r="C64" s="71" t="s">
        <v>96</v>
      </c>
      <c r="G64" s="71" t="s">
        <v>95</v>
      </c>
      <c r="I64" s="42">
        <v>5</v>
      </c>
      <c r="J64" s="42">
        <v>90</v>
      </c>
      <c r="K64" s="42">
        <v>2</v>
      </c>
      <c r="L64" s="102">
        <f t="shared" si="2"/>
        <v>900</v>
      </c>
      <c r="M64" s="48">
        <v>125</v>
      </c>
      <c r="N64" s="80">
        <f t="shared" si="3"/>
        <v>56.25</v>
      </c>
      <c r="O64" s="80"/>
      <c r="P64" s="80">
        <f t="shared" si="4"/>
        <v>1.125</v>
      </c>
      <c r="Q64" s="80"/>
    </row>
    <row r="65" spans="3:17" ht="18">
      <c r="C65" s="71" t="s">
        <v>98</v>
      </c>
      <c r="G65" s="71" t="s">
        <v>97</v>
      </c>
      <c r="I65" s="42">
        <v>1</v>
      </c>
      <c r="J65" s="42">
        <v>60</v>
      </c>
      <c r="K65" s="42">
        <v>50</v>
      </c>
      <c r="L65" s="102">
        <f t="shared" si="2"/>
        <v>3000</v>
      </c>
      <c r="M65" s="48">
        <v>250</v>
      </c>
      <c r="N65" s="80">
        <f t="shared" si="3"/>
        <v>375</v>
      </c>
      <c r="O65" s="80"/>
      <c r="P65" s="80">
        <f t="shared" si="4"/>
        <v>7.5</v>
      </c>
      <c r="Q65" s="80"/>
    </row>
    <row r="66" spans="3:17" ht="18">
      <c r="C66" s="71" t="s">
        <v>98</v>
      </c>
      <c r="G66" s="71" t="s">
        <v>95</v>
      </c>
      <c r="I66" s="42">
        <v>1</v>
      </c>
      <c r="J66" s="42">
        <v>60</v>
      </c>
      <c r="K66" s="42">
        <v>2</v>
      </c>
      <c r="L66" s="102">
        <f t="shared" si="2"/>
        <v>120</v>
      </c>
      <c r="M66" s="48">
        <v>250</v>
      </c>
      <c r="N66" s="80">
        <f t="shared" si="3"/>
        <v>15</v>
      </c>
      <c r="O66" s="80"/>
      <c r="P66" s="80">
        <f t="shared" si="4"/>
        <v>0.3</v>
      </c>
      <c r="Q66" s="80"/>
    </row>
    <row r="67" spans="3:17" ht="18">
      <c r="C67" s="71" t="s">
        <v>99</v>
      </c>
      <c r="G67" s="71" t="s">
        <v>100</v>
      </c>
      <c r="I67" s="42">
        <v>0.25</v>
      </c>
      <c r="J67" s="42">
        <v>365</v>
      </c>
      <c r="K67" s="42">
        <v>52</v>
      </c>
      <c r="L67" s="102">
        <f t="shared" si="2"/>
        <v>4745</v>
      </c>
      <c r="M67" s="48">
        <v>400</v>
      </c>
      <c r="N67" s="80">
        <f t="shared" si="3"/>
        <v>949</v>
      </c>
      <c r="O67" s="80"/>
      <c r="P67" s="80">
        <f t="shared" si="4"/>
        <v>18.98</v>
      </c>
      <c r="Q67" s="80"/>
    </row>
    <row r="68" spans="3:17" ht="18">
      <c r="C68" s="71" t="s">
        <v>101</v>
      </c>
      <c r="I68" s="42">
        <v>0</v>
      </c>
      <c r="J68" s="42">
        <v>0</v>
      </c>
      <c r="K68" s="42">
        <v>0</v>
      </c>
      <c r="L68" s="102">
        <f>I68*J68*K68</f>
        <v>0</v>
      </c>
      <c r="M68" s="48">
        <v>0</v>
      </c>
      <c r="N68" s="80">
        <f>L68/2000*M68</f>
        <v>0</v>
      </c>
      <c r="O68" s="80"/>
      <c r="P68" s="80">
        <f>N68/$J$13</f>
        <v>0</v>
      </c>
      <c r="Q68" s="80"/>
    </row>
    <row r="69" spans="3:17" ht="18">
      <c r="C69" s="71" t="s">
        <v>101</v>
      </c>
      <c r="I69" s="42">
        <v>0</v>
      </c>
      <c r="J69" s="42">
        <v>0</v>
      </c>
      <c r="K69" s="42">
        <v>0</v>
      </c>
      <c r="L69" s="102">
        <f t="shared" si="2"/>
        <v>0</v>
      </c>
      <c r="M69" s="48">
        <v>0</v>
      </c>
      <c r="N69" s="80">
        <f t="shared" si="3"/>
        <v>0</v>
      </c>
      <c r="O69" s="80"/>
      <c r="P69" s="80">
        <f t="shared" si="4"/>
        <v>0</v>
      </c>
      <c r="Q69" s="80"/>
    </row>
    <row r="71" spans="3:17" ht="18">
      <c r="C71" s="99" t="s">
        <v>102</v>
      </c>
      <c r="N71" s="26">
        <f>SUM(N59:N70)</f>
        <v>5497.75</v>
      </c>
      <c r="P71" s="80">
        <f>SUM(P59:P70)</f>
        <v>109.955</v>
      </c>
      <c r="Q71" s="80"/>
    </row>
    <row r="74" spans="2:17" ht="18">
      <c r="B74" s="71" t="s">
        <v>103</v>
      </c>
      <c r="K74" s="76" t="s">
        <v>104</v>
      </c>
      <c r="L74" s="76" t="s">
        <v>105</v>
      </c>
      <c r="M74" s="76" t="s">
        <v>106</v>
      </c>
      <c r="N74" s="76" t="s">
        <v>65</v>
      </c>
      <c r="O74" s="76"/>
      <c r="P74" s="76" t="s">
        <v>66</v>
      </c>
      <c r="Q74" s="76"/>
    </row>
    <row r="75" spans="3:17" ht="18">
      <c r="C75" s="71" t="s">
        <v>107</v>
      </c>
      <c r="K75" s="48">
        <v>20</v>
      </c>
      <c r="L75" s="42">
        <v>0.75</v>
      </c>
      <c r="M75" s="42">
        <v>120</v>
      </c>
      <c r="N75" s="80">
        <f aca="true" t="shared" si="5" ref="N75:N82">K75*L75*M75</f>
        <v>1800</v>
      </c>
      <c r="O75" s="80"/>
      <c r="P75" s="80">
        <f aca="true" t="shared" si="6" ref="P75:P82">N75/$J$13</f>
        <v>36</v>
      </c>
      <c r="Q75" s="80"/>
    </row>
    <row r="76" spans="3:17" ht="18">
      <c r="C76" s="71" t="s">
        <v>108</v>
      </c>
      <c r="K76" s="48">
        <v>8</v>
      </c>
      <c r="L76" s="42">
        <v>0</v>
      </c>
      <c r="M76" s="42">
        <v>90</v>
      </c>
      <c r="N76" s="80">
        <f t="shared" si="5"/>
        <v>0</v>
      </c>
      <c r="O76" s="80"/>
      <c r="P76" s="80">
        <f t="shared" si="6"/>
        <v>0</v>
      </c>
      <c r="Q76" s="80"/>
    </row>
    <row r="77" spans="3:17" ht="18">
      <c r="C77" s="71" t="s">
        <v>109</v>
      </c>
      <c r="K77" s="48">
        <v>15</v>
      </c>
      <c r="L77" s="42">
        <v>5</v>
      </c>
      <c r="M77" s="42">
        <v>5</v>
      </c>
      <c r="N77" s="80">
        <f t="shared" si="5"/>
        <v>375</v>
      </c>
      <c r="O77" s="80"/>
      <c r="P77" s="80">
        <f t="shared" si="6"/>
        <v>7.5</v>
      </c>
      <c r="Q77" s="80"/>
    </row>
    <row r="78" spans="3:17" ht="18">
      <c r="C78" s="71" t="s">
        <v>110</v>
      </c>
      <c r="K78" s="48">
        <v>12</v>
      </c>
      <c r="L78" s="42">
        <v>4</v>
      </c>
      <c r="M78" s="42">
        <v>15</v>
      </c>
      <c r="N78" s="80">
        <f t="shared" si="5"/>
        <v>720</v>
      </c>
      <c r="O78" s="80"/>
      <c r="P78" s="80">
        <f t="shared" si="6"/>
        <v>14.4</v>
      </c>
      <c r="Q78" s="80"/>
    </row>
    <row r="79" spans="3:17" ht="18">
      <c r="C79" s="71" t="s">
        <v>111</v>
      </c>
      <c r="K79" s="48">
        <v>8</v>
      </c>
      <c r="L79" s="42">
        <v>1</v>
      </c>
      <c r="M79" s="42">
        <v>120</v>
      </c>
      <c r="N79" s="80">
        <f t="shared" si="5"/>
        <v>960</v>
      </c>
      <c r="O79" s="80"/>
      <c r="P79" s="80">
        <f t="shared" si="6"/>
        <v>19.2</v>
      </c>
      <c r="Q79" s="80"/>
    </row>
    <row r="80" spans="3:17" ht="18">
      <c r="C80" s="71" t="s">
        <v>112</v>
      </c>
      <c r="K80" s="48">
        <v>20</v>
      </c>
      <c r="L80" s="42">
        <v>1</v>
      </c>
      <c r="M80" s="42">
        <v>50</v>
      </c>
      <c r="N80" s="80">
        <f t="shared" si="5"/>
        <v>1000</v>
      </c>
      <c r="O80" s="80"/>
      <c r="P80" s="80">
        <f t="shared" si="6"/>
        <v>20</v>
      </c>
      <c r="Q80" s="80"/>
    </row>
    <row r="81" spans="3:17" ht="18">
      <c r="C81" s="71" t="s">
        <v>101</v>
      </c>
      <c r="K81" s="48">
        <v>0</v>
      </c>
      <c r="L81" s="42">
        <v>0</v>
      </c>
      <c r="M81" s="42">
        <v>0</v>
      </c>
      <c r="N81" s="80">
        <f>K81*L81*M81</f>
        <v>0</v>
      </c>
      <c r="O81" s="80"/>
      <c r="P81" s="80">
        <f>N81/$J$13</f>
        <v>0</v>
      </c>
      <c r="Q81" s="80"/>
    </row>
    <row r="82" spans="3:17" ht="18">
      <c r="C82" s="71" t="s">
        <v>101</v>
      </c>
      <c r="K82" s="48">
        <v>0</v>
      </c>
      <c r="L82" s="42">
        <v>0</v>
      </c>
      <c r="M82" s="42">
        <v>0</v>
      </c>
      <c r="N82" s="80">
        <f t="shared" si="5"/>
        <v>0</v>
      </c>
      <c r="O82" s="80"/>
      <c r="P82" s="80">
        <f t="shared" si="6"/>
        <v>0</v>
      </c>
      <c r="Q82" s="80"/>
    </row>
    <row r="83" spans="11:13" ht="18">
      <c r="K83" s="13"/>
      <c r="L83" s="10"/>
      <c r="M83" s="10"/>
    </row>
    <row r="84" spans="3:17" ht="18">
      <c r="C84" s="99" t="s">
        <v>113</v>
      </c>
      <c r="K84" s="10"/>
      <c r="L84" s="10"/>
      <c r="M84" s="10"/>
      <c r="N84" s="80">
        <f>SUM(N75:N83)</f>
        <v>4855</v>
      </c>
      <c r="P84" s="80">
        <f>SUM(P75:P83)</f>
        <v>97.1</v>
      </c>
      <c r="Q84" s="80"/>
    </row>
    <row r="88" ht="18">
      <c r="B88" s="71" t="s">
        <v>114</v>
      </c>
    </row>
    <row r="89" spans="3:17" ht="18">
      <c r="C89" s="103" t="s">
        <v>115</v>
      </c>
      <c r="G89" s="71" t="s">
        <v>88</v>
      </c>
      <c r="H89" s="76" t="s">
        <v>89</v>
      </c>
      <c r="I89" s="76" t="s">
        <v>116</v>
      </c>
      <c r="J89" s="76"/>
      <c r="K89" s="76" t="s">
        <v>117</v>
      </c>
      <c r="L89" s="76"/>
      <c r="M89" s="76" t="s">
        <v>118</v>
      </c>
      <c r="N89" s="76" t="s">
        <v>65</v>
      </c>
      <c r="O89" s="76"/>
      <c r="P89" s="76" t="s">
        <v>66</v>
      </c>
      <c r="Q89" s="76"/>
    </row>
    <row r="90" spans="3:17" ht="18">
      <c r="C90" s="104" t="s">
        <v>200</v>
      </c>
      <c r="D90" s="104"/>
      <c r="E90" s="104"/>
      <c r="G90" s="71">
        <f aca="true" t="shared" si="7" ref="G90:G95">$J$13+$J$13/$J$15</f>
        <v>52</v>
      </c>
      <c r="H90" s="10"/>
      <c r="I90" s="49">
        <v>1</v>
      </c>
      <c r="J90" s="15" t="s">
        <v>119</v>
      </c>
      <c r="K90" s="48">
        <v>1.25</v>
      </c>
      <c r="L90" s="104" t="s">
        <v>120</v>
      </c>
      <c r="M90" s="105">
        <f>I90*K90</f>
        <v>1.25</v>
      </c>
      <c r="N90" s="80">
        <f>G90*I90*K90</f>
        <v>65</v>
      </c>
      <c r="P90" s="80">
        <f aca="true" t="shared" si="8" ref="P90:P101">N90/$J$13</f>
        <v>1.3</v>
      </c>
      <c r="Q90" s="80"/>
    </row>
    <row r="91" spans="3:17" ht="18">
      <c r="C91" s="104" t="s">
        <v>181</v>
      </c>
      <c r="D91" s="104"/>
      <c r="E91" s="104"/>
      <c r="G91" s="71">
        <f t="shared" si="7"/>
        <v>52</v>
      </c>
      <c r="H91" s="10"/>
      <c r="I91" s="49">
        <v>2</v>
      </c>
      <c r="J91" s="15" t="s">
        <v>119</v>
      </c>
      <c r="K91" s="48">
        <v>2.25</v>
      </c>
      <c r="L91" s="104" t="s">
        <v>120</v>
      </c>
      <c r="M91" s="105">
        <f>I91*K91</f>
        <v>4.5</v>
      </c>
      <c r="N91" s="80">
        <f>G91*I91*K91</f>
        <v>234</v>
      </c>
      <c r="P91" s="80">
        <f>N91/$J$13</f>
        <v>4.68</v>
      </c>
      <c r="Q91" s="80"/>
    </row>
    <row r="92" spans="3:17" ht="18">
      <c r="C92" s="104" t="s">
        <v>201</v>
      </c>
      <c r="E92" s="104"/>
      <c r="G92" s="71">
        <f t="shared" si="7"/>
        <v>52</v>
      </c>
      <c r="H92" s="50">
        <v>1200</v>
      </c>
      <c r="I92" s="49">
        <v>5</v>
      </c>
      <c r="J92" s="15" t="s">
        <v>183</v>
      </c>
      <c r="K92" s="48">
        <v>70</v>
      </c>
      <c r="L92" s="104" t="s">
        <v>121</v>
      </c>
      <c r="M92" s="105">
        <f>(H92*I92/110)*(K92/1000)</f>
        <v>3.818181818181819</v>
      </c>
      <c r="N92" s="80">
        <f>((G92*H92/100*I92)/1000)*K92</f>
        <v>218.4</v>
      </c>
      <c r="P92" s="80">
        <f t="shared" si="8"/>
        <v>4.368</v>
      </c>
      <c r="Q92" s="80"/>
    </row>
    <row r="93" spans="3:17" ht="18">
      <c r="C93" s="104" t="s">
        <v>202</v>
      </c>
      <c r="E93" s="104"/>
      <c r="G93" s="71">
        <f t="shared" si="7"/>
        <v>52</v>
      </c>
      <c r="H93" s="50">
        <v>1200</v>
      </c>
      <c r="I93" s="49">
        <v>0</v>
      </c>
      <c r="J93" s="15" t="s">
        <v>184</v>
      </c>
      <c r="K93" s="48">
        <f>(33.95/900)*1000</f>
        <v>37.72222222222223</v>
      </c>
      <c r="L93" s="104" t="s">
        <v>121</v>
      </c>
      <c r="M93" s="105">
        <f>(I93*(H93/100))*(K93/1000)</f>
        <v>0</v>
      </c>
      <c r="N93" s="80">
        <f>((G93*H93/100*I93)/1000)*K93</f>
        <v>0</v>
      </c>
      <c r="P93" s="80">
        <f t="shared" si="8"/>
        <v>0</v>
      </c>
      <c r="Q93" s="80"/>
    </row>
    <row r="94" spans="3:17" ht="18">
      <c r="C94" s="104" t="s">
        <v>203</v>
      </c>
      <c r="D94" s="104"/>
      <c r="E94" s="104"/>
      <c r="G94" s="71">
        <f t="shared" si="7"/>
        <v>52</v>
      </c>
      <c r="H94" s="10"/>
      <c r="I94" s="49">
        <v>1</v>
      </c>
      <c r="J94" s="15" t="s">
        <v>122</v>
      </c>
      <c r="K94" s="48">
        <v>0.46</v>
      </c>
      <c r="L94" s="104" t="s">
        <v>123</v>
      </c>
      <c r="M94" s="105">
        <f aca="true" t="shared" si="9" ref="M94:M101">I94*K94</f>
        <v>0.46</v>
      </c>
      <c r="N94" s="80">
        <f aca="true" t="shared" si="10" ref="N94:N101">G94*I94*K94</f>
        <v>23.92</v>
      </c>
      <c r="P94" s="80">
        <f t="shared" si="8"/>
        <v>0.47840000000000005</v>
      </c>
      <c r="Q94" s="80"/>
    </row>
    <row r="95" spans="3:17" ht="18">
      <c r="C95" s="104" t="s">
        <v>208</v>
      </c>
      <c r="D95" s="104"/>
      <c r="E95" s="104"/>
      <c r="G95" s="71">
        <f t="shared" si="7"/>
        <v>52</v>
      </c>
      <c r="H95" s="10"/>
      <c r="I95" s="49">
        <v>1</v>
      </c>
      <c r="J95" s="15" t="s">
        <v>122</v>
      </c>
      <c r="K95" s="48">
        <v>2</v>
      </c>
      <c r="L95" s="104" t="s">
        <v>123</v>
      </c>
      <c r="M95" s="105">
        <f t="shared" si="9"/>
        <v>2</v>
      </c>
      <c r="N95" s="80">
        <f t="shared" si="10"/>
        <v>104</v>
      </c>
      <c r="P95" s="80">
        <f t="shared" si="8"/>
        <v>2.08</v>
      </c>
      <c r="Q95" s="80"/>
    </row>
    <row r="96" spans="3:17" ht="18">
      <c r="C96" s="104" t="s">
        <v>204</v>
      </c>
      <c r="E96" s="104"/>
      <c r="G96" s="71">
        <f>$J$13</f>
        <v>50</v>
      </c>
      <c r="H96" s="10"/>
      <c r="I96" s="49">
        <v>0</v>
      </c>
      <c r="J96" s="15" t="s">
        <v>124</v>
      </c>
      <c r="K96" s="48">
        <v>27</v>
      </c>
      <c r="L96" s="104" t="s">
        <v>125</v>
      </c>
      <c r="M96" s="105">
        <f>I96*K96</f>
        <v>0</v>
      </c>
      <c r="N96" s="80">
        <f>G96*I96*K96</f>
        <v>0</v>
      </c>
      <c r="P96" s="80">
        <f>N96/$J$13</f>
        <v>0</v>
      </c>
      <c r="Q96" s="80"/>
    </row>
    <row r="97" spans="3:17" ht="18">
      <c r="C97" s="104" t="s">
        <v>205</v>
      </c>
      <c r="E97" s="104"/>
      <c r="G97" s="71">
        <f>$J$13</f>
        <v>50</v>
      </c>
      <c r="H97" s="10"/>
      <c r="I97" s="49">
        <v>0</v>
      </c>
      <c r="J97" s="15" t="s">
        <v>206</v>
      </c>
      <c r="K97" s="48">
        <v>15</v>
      </c>
      <c r="L97" s="104" t="s">
        <v>125</v>
      </c>
      <c r="M97" s="105">
        <f t="shared" si="9"/>
        <v>0</v>
      </c>
      <c r="N97" s="80">
        <f t="shared" si="10"/>
        <v>0</v>
      </c>
      <c r="P97" s="80">
        <f t="shared" si="8"/>
        <v>0</v>
      </c>
      <c r="Q97" s="80"/>
    </row>
    <row r="98" spans="3:17" ht="18">
      <c r="C98" s="104" t="s">
        <v>126</v>
      </c>
      <c r="D98" s="104"/>
      <c r="E98" s="104"/>
      <c r="G98" s="71">
        <f>$J$13</f>
        <v>50</v>
      </c>
      <c r="H98" s="10"/>
      <c r="I98" s="49">
        <v>1</v>
      </c>
      <c r="J98" s="15" t="s">
        <v>127</v>
      </c>
      <c r="K98" s="48">
        <v>5</v>
      </c>
      <c r="L98" s="104" t="s">
        <v>125</v>
      </c>
      <c r="M98" s="105">
        <f t="shared" si="9"/>
        <v>5</v>
      </c>
      <c r="N98" s="80">
        <f t="shared" si="10"/>
        <v>250</v>
      </c>
      <c r="P98" s="80">
        <f t="shared" si="8"/>
        <v>5</v>
      </c>
      <c r="Q98" s="80"/>
    </row>
    <row r="99" spans="3:17" ht="18">
      <c r="C99" s="71" t="s">
        <v>128</v>
      </c>
      <c r="G99" s="71">
        <f>$J$13/$J$15</f>
        <v>2</v>
      </c>
      <c r="H99" s="10"/>
      <c r="I99" s="42">
        <v>1</v>
      </c>
      <c r="J99" s="15" t="s">
        <v>127</v>
      </c>
      <c r="K99" s="48">
        <v>40</v>
      </c>
      <c r="L99" s="104" t="s">
        <v>125</v>
      </c>
      <c r="M99" s="80">
        <f t="shared" si="9"/>
        <v>40</v>
      </c>
      <c r="N99" s="80">
        <f t="shared" si="10"/>
        <v>80</v>
      </c>
      <c r="P99" s="80">
        <f t="shared" si="8"/>
        <v>1.6</v>
      </c>
      <c r="Q99" s="80"/>
    </row>
    <row r="100" spans="3:17" ht="18">
      <c r="C100" s="71" t="s">
        <v>199</v>
      </c>
      <c r="G100" s="71">
        <f>$J$13+$J$13/$J$15</f>
        <v>52</v>
      </c>
      <c r="H100" s="10"/>
      <c r="I100" s="42">
        <v>0</v>
      </c>
      <c r="J100" s="15" t="s">
        <v>101</v>
      </c>
      <c r="K100" s="48">
        <v>0</v>
      </c>
      <c r="L100" s="106" t="s">
        <v>125</v>
      </c>
      <c r="M100" s="80">
        <f>I100*K100</f>
        <v>0</v>
      </c>
      <c r="N100" s="80">
        <f>G100*I100*K100</f>
        <v>0</v>
      </c>
      <c r="P100" s="80">
        <f>N100/$J$13</f>
        <v>0</v>
      </c>
      <c r="Q100" s="80"/>
    </row>
    <row r="101" spans="3:17" ht="18">
      <c r="C101" s="71" t="s">
        <v>207</v>
      </c>
      <c r="G101" s="71">
        <f>$J$13+$J$13/$J$15</f>
        <v>52</v>
      </c>
      <c r="H101" s="10"/>
      <c r="I101" s="42">
        <v>1</v>
      </c>
      <c r="J101" s="15" t="s">
        <v>101</v>
      </c>
      <c r="K101" s="48">
        <v>6</v>
      </c>
      <c r="L101" s="106" t="s">
        <v>125</v>
      </c>
      <c r="M101" s="80">
        <f t="shared" si="9"/>
        <v>6</v>
      </c>
      <c r="N101" s="80">
        <f t="shared" si="10"/>
        <v>312</v>
      </c>
      <c r="P101" s="80">
        <f t="shared" si="8"/>
        <v>6.24</v>
      </c>
      <c r="Q101" s="80"/>
    </row>
    <row r="102" spans="3:17" ht="18">
      <c r="C102" s="99" t="s">
        <v>129</v>
      </c>
      <c r="H102" s="10"/>
      <c r="I102" s="10"/>
      <c r="N102" s="80">
        <f>SUM(N90:N101)</f>
        <v>1287.32</v>
      </c>
      <c r="P102" s="80">
        <f>SUM(P90:P101)</f>
        <v>25.7464</v>
      </c>
      <c r="Q102" s="80"/>
    </row>
    <row r="105" spans="3:17" ht="18">
      <c r="C105" s="103" t="s">
        <v>130</v>
      </c>
      <c r="G105" s="71" t="s">
        <v>88</v>
      </c>
      <c r="H105" s="76" t="s">
        <v>89</v>
      </c>
      <c r="I105" s="76" t="s">
        <v>116</v>
      </c>
      <c r="J105" s="76"/>
      <c r="K105" s="76" t="s">
        <v>117</v>
      </c>
      <c r="L105" s="76"/>
      <c r="M105" s="76" t="s">
        <v>118</v>
      </c>
      <c r="N105" s="76" t="s">
        <v>65</v>
      </c>
      <c r="O105" s="76"/>
      <c r="P105" s="76" t="s">
        <v>66</v>
      </c>
      <c r="Q105" s="76"/>
    </row>
    <row r="106" spans="3:17" ht="18">
      <c r="C106" s="104" t="s">
        <v>200</v>
      </c>
      <c r="D106" s="104"/>
      <c r="E106" s="104"/>
      <c r="G106" s="71">
        <f aca="true" t="shared" si="11" ref="G106:G115">$J$13</f>
        <v>50</v>
      </c>
      <c r="H106" s="10"/>
      <c r="I106" s="49">
        <v>1</v>
      </c>
      <c r="J106" s="15" t="s">
        <v>119</v>
      </c>
      <c r="K106" s="48">
        <v>1.25</v>
      </c>
      <c r="L106" s="104" t="s">
        <v>120</v>
      </c>
      <c r="M106" s="105">
        <f>I106*K106</f>
        <v>1.25</v>
      </c>
      <c r="N106" s="80">
        <f>G106*I106*K106</f>
        <v>62.5</v>
      </c>
      <c r="P106" s="80">
        <f aca="true" t="shared" si="12" ref="P106:P115">N106/$J$13</f>
        <v>1.25</v>
      </c>
      <c r="Q106" s="80"/>
    </row>
    <row r="107" spans="3:17" ht="18">
      <c r="C107" s="104" t="s">
        <v>182</v>
      </c>
      <c r="D107" s="104"/>
      <c r="E107" s="104"/>
      <c r="G107" s="71">
        <f t="shared" si="11"/>
        <v>50</v>
      </c>
      <c r="H107" s="10"/>
      <c r="I107" s="49">
        <v>2</v>
      </c>
      <c r="J107" s="15" t="s">
        <v>119</v>
      </c>
      <c r="K107" s="48">
        <v>2.25</v>
      </c>
      <c r="L107" s="104" t="s">
        <v>120</v>
      </c>
      <c r="M107" s="105">
        <f>I107*K107</f>
        <v>4.5</v>
      </c>
      <c r="N107" s="80">
        <f>G107*I107*K107</f>
        <v>225</v>
      </c>
      <c r="P107" s="80">
        <f>N107/$J$13</f>
        <v>4.5</v>
      </c>
      <c r="Q107" s="80"/>
    </row>
    <row r="108" spans="3:17" ht="18">
      <c r="C108" s="104" t="s">
        <v>201</v>
      </c>
      <c r="E108" s="104"/>
      <c r="G108" s="71">
        <f t="shared" si="11"/>
        <v>50</v>
      </c>
      <c r="H108" s="52">
        <v>500</v>
      </c>
      <c r="I108" s="49">
        <v>5</v>
      </c>
      <c r="J108" s="15" t="s">
        <v>183</v>
      </c>
      <c r="K108" s="48">
        <v>70</v>
      </c>
      <c r="L108" s="104" t="s">
        <v>121</v>
      </c>
      <c r="M108" s="105">
        <f>(H108*I108/110)*(K108/1000)</f>
        <v>1.590909090909091</v>
      </c>
      <c r="N108" s="80">
        <f>((G108*H108/100*I108)/1000)*K108</f>
        <v>87.5</v>
      </c>
      <c r="P108" s="80">
        <f t="shared" si="12"/>
        <v>1.75</v>
      </c>
      <c r="Q108" s="80"/>
    </row>
    <row r="109" spans="3:17" ht="18">
      <c r="C109" s="104" t="s">
        <v>203</v>
      </c>
      <c r="E109" s="104"/>
      <c r="G109" s="71">
        <f t="shared" si="11"/>
        <v>50</v>
      </c>
      <c r="H109" s="16"/>
      <c r="I109" s="49">
        <v>2</v>
      </c>
      <c r="J109" s="15" t="s">
        <v>131</v>
      </c>
      <c r="K109" s="48">
        <v>0.46</v>
      </c>
      <c r="L109" s="104" t="s">
        <v>123</v>
      </c>
      <c r="M109" s="105">
        <f>IF(D109&lt;100,(D109*I109/100)*(K109/1000),30/1000)</f>
        <v>0</v>
      </c>
      <c r="N109" s="80">
        <f>((G109*H109/100*I109)/1000)*K109</f>
        <v>0</v>
      </c>
      <c r="P109" s="80">
        <f t="shared" si="12"/>
        <v>0</v>
      </c>
      <c r="Q109" s="80"/>
    </row>
    <row r="110" spans="3:17" ht="18">
      <c r="C110" s="104" t="s">
        <v>209</v>
      </c>
      <c r="D110" s="104"/>
      <c r="E110" s="104"/>
      <c r="G110" s="71">
        <f t="shared" si="11"/>
        <v>50</v>
      </c>
      <c r="H110" s="10"/>
      <c r="I110" s="49">
        <v>2</v>
      </c>
      <c r="J110" s="15" t="s">
        <v>131</v>
      </c>
      <c r="K110" s="48">
        <v>1.72</v>
      </c>
      <c r="L110" s="104" t="s">
        <v>123</v>
      </c>
      <c r="M110" s="105">
        <f aca="true" t="shared" si="13" ref="M110:M115">I110*K110</f>
        <v>3.44</v>
      </c>
      <c r="N110" s="80">
        <f aca="true" t="shared" si="14" ref="N110:N115">G110*I110*K110</f>
        <v>172</v>
      </c>
      <c r="P110" s="80">
        <f t="shared" si="12"/>
        <v>3.44</v>
      </c>
      <c r="Q110" s="80"/>
    </row>
    <row r="111" spans="3:17" ht="18">
      <c r="C111" s="104" t="s">
        <v>186</v>
      </c>
      <c r="D111" s="104"/>
      <c r="E111" s="104"/>
      <c r="G111" s="71">
        <f t="shared" si="11"/>
        <v>50</v>
      </c>
      <c r="H111" s="10"/>
      <c r="I111" s="49">
        <v>0</v>
      </c>
      <c r="J111" s="15" t="s">
        <v>131</v>
      </c>
      <c r="K111" s="48">
        <v>2.5</v>
      </c>
      <c r="L111" s="104" t="s">
        <v>123</v>
      </c>
      <c r="M111" s="105">
        <f t="shared" si="13"/>
        <v>0</v>
      </c>
      <c r="N111" s="80">
        <f t="shared" si="14"/>
        <v>0</v>
      </c>
      <c r="P111" s="80">
        <f t="shared" si="12"/>
        <v>0</v>
      </c>
      <c r="Q111" s="80"/>
    </row>
    <row r="112" spans="3:17" ht="18">
      <c r="C112" s="104" t="s">
        <v>185</v>
      </c>
      <c r="D112" s="104"/>
      <c r="E112" s="104"/>
      <c r="G112" s="71">
        <f t="shared" si="11"/>
        <v>50</v>
      </c>
      <c r="H112" s="10"/>
      <c r="I112" s="49">
        <v>0</v>
      </c>
      <c r="J112" s="15" t="s">
        <v>131</v>
      </c>
      <c r="K112" s="48">
        <v>2.5</v>
      </c>
      <c r="L112" s="104" t="s">
        <v>123</v>
      </c>
      <c r="M112" s="105">
        <f t="shared" si="13"/>
        <v>0</v>
      </c>
      <c r="N112" s="80">
        <f t="shared" si="14"/>
        <v>0</v>
      </c>
      <c r="P112" s="80">
        <f t="shared" si="12"/>
        <v>0</v>
      </c>
      <c r="Q112" s="80"/>
    </row>
    <row r="113" spans="3:17" ht="18">
      <c r="C113" s="104" t="s">
        <v>210</v>
      </c>
      <c r="E113" s="104"/>
      <c r="G113" s="71">
        <f t="shared" si="11"/>
        <v>50</v>
      </c>
      <c r="H113" s="10"/>
      <c r="I113" s="49">
        <v>1</v>
      </c>
      <c r="J113" s="15" t="s">
        <v>131</v>
      </c>
      <c r="K113" s="48">
        <v>1</v>
      </c>
      <c r="L113" s="104" t="s">
        <v>125</v>
      </c>
      <c r="M113" s="105">
        <f t="shared" si="13"/>
        <v>1</v>
      </c>
      <c r="N113" s="80">
        <f t="shared" si="14"/>
        <v>50</v>
      </c>
      <c r="P113" s="80">
        <f>N113/$J$13</f>
        <v>1</v>
      </c>
      <c r="Q113" s="80"/>
    </row>
    <row r="114" spans="3:17" ht="18">
      <c r="C114" s="104" t="s">
        <v>101</v>
      </c>
      <c r="E114" s="104"/>
      <c r="G114" s="71">
        <f t="shared" si="11"/>
        <v>50</v>
      </c>
      <c r="H114" s="10"/>
      <c r="I114" s="49">
        <v>0</v>
      </c>
      <c r="J114" s="15" t="s">
        <v>131</v>
      </c>
      <c r="K114" s="48">
        <v>0</v>
      </c>
      <c r="L114" s="104" t="s">
        <v>125</v>
      </c>
      <c r="M114" s="105">
        <f t="shared" si="13"/>
        <v>0</v>
      </c>
      <c r="N114" s="80">
        <f t="shared" si="14"/>
        <v>0</v>
      </c>
      <c r="P114" s="80">
        <f>N114/$J$13</f>
        <v>0</v>
      </c>
      <c r="Q114" s="80"/>
    </row>
    <row r="115" spans="3:17" ht="18">
      <c r="C115" s="104" t="s">
        <v>101</v>
      </c>
      <c r="E115" s="104"/>
      <c r="G115" s="71">
        <f t="shared" si="11"/>
        <v>50</v>
      </c>
      <c r="H115" s="10"/>
      <c r="I115" s="49">
        <v>0</v>
      </c>
      <c r="J115" s="15" t="s">
        <v>131</v>
      </c>
      <c r="K115" s="48">
        <v>0</v>
      </c>
      <c r="L115" s="104" t="s">
        <v>125</v>
      </c>
      <c r="M115" s="105">
        <f t="shared" si="13"/>
        <v>0</v>
      </c>
      <c r="N115" s="80">
        <f t="shared" si="14"/>
        <v>0</v>
      </c>
      <c r="P115" s="80">
        <f t="shared" si="12"/>
        <v>0</v>
      </c>
      <c r="Q115" s="80"/>
    </row>
    <row r="116" spans="1:17" ht="18">
      <c r="A116" s="107"/>
      <c r="C116" s="104"/>
      <c r="D116" s="104"/>
      <c r="E116" s="104"/>
      <c r="H116" s="10"/>
      <c r="I116" s="14"/>
      <c r="J116" s="15"/>
      <c r="K116" s="13"/>
      <c r="L116" s="104"/>
      <c r="M116" s="105"/>
      <c r="N116" s="80"/>
      <c r="P116" s="80"/>
      <c r="Q116" s="80"/>
    </row>
    <row r="117" spans="1:17" ht="18">
      <c r="A117" s="107"/>
      <c r="C117" s="99" t="s">
        <v>129</v>
      </c>
      <c r="H117" s="10"/>
      <c r="I117" s="10"/>
      <c r="J117" s="15"/>
      <c r="K117" s="13"/>
      <c r="L117" s="104"/>
      <c r="N117" s="80">
        <f>SUM(N106:N116)</f>
        <v>597</v>
      </c>
      <c r="P117" s="80">
        <f>SUM(P106:P116)</f>
        <v>11.94</v>
      </c>
      <c r="Q117" s="80"/>
    </row>
    <row r="118" spans="1:17" ht="18">
      <c r="A118" s="107"/>
      <c r="H118" s="10"/>
      <c r="I118" s="10"/>
      <c r="J118" s="15"/>
      <c r="K118" s="13"/>
      <c r="N118" s="80"/>
      <c r="P118" s="80"/>
      <c r="Q118" s="80"/>
    </row>
    <row r="119" spans="1:17" ht="18">
      <c r="A119" s="107"/>
      <c r="C119" s="99" t="s">
        <v>132</v>
      </c>
      <c r="N119" s="80">
        <f>N102+N117</f>
        <v>1884.32</v>
      </c>
      <c r="O119" s="80"/>
      <c r="P119" s="80">
        <f>P102+P117</f>
        <v>37.6864</v>
      </c>
      <c r="Q119" s="80"/>
    </row>
    <row r="120" spans="1:3" ht="18">
      <c r="A120" s="107"/>
      <c r="C120" s="71" t="s">
        <v>187</v>
      </c>
    </row>
    <row r="121" ht="18">
      <c r="A121" s="107"/>
    </row>
    <row r="122" spans="2:17" ht="18">
      <c r="B122" s="71" t="s">
        <v>133</v>
      </c>
      <c r="J122" s="71" t="s">
        <v>134</v>
      </c>
      <c r="K122" s="76" t="s">
        <v>65</v>
      </c>
      <c r="L122" s="76" t="s">
        <v>135</v>
      </c>
      <c r="M122" s="76" t="s">
        <v>136</v>
      </c>
      <c r="N122" s="76" t="s">
        <v>65</v>
      </c>
      <c r="O122" s="76"/>
      <c r="P122" s="76" t="s">
        <v>66</v>
      </c>
      <c r="Q122" s="76"/>
    </row>
    <row r="123" spans="3:17" ht="18">
      <c r="C123" s="71" t="s">
        <v>137</v>
      </c>
      <c r="J123" s="10"/>
      <c r="K123" s="44">
        <v>15000</v>
      </c>
      <c r="L123" s="42">
        <v>20</v>
      </c>
      <c r="M123" s="46">
        <v>0.15</v>
      </c>
      <c r="N123" s="80"/>
      <c r="O123" s="80"/>
      <c r="P123" s="80">
        <f>K123/J13</f>
        <v>300</v>
      </c>
      <c r="Q123" s="80"/>
    </row>
    <row r="124" spans="3:17" ht="18">
      <c r="C124" s="71" t="s">
        <v>138</v>
      </c>
      <c r="J124" s="45">
        <v>0.0075</v>
      </c>
      <c r="K124" s="10"/>
      <c r="L124" s="10"/>
      <c r="M124" s="10"/>
      <c r="N124" s="80">
        <f>$K$123*J124</f>
        <v>112.5</v>
      </c>
      <c r="O124" s="80"/>
      <c r="P124" s="80">
        <f>N124/$J$13</f>
        <v>2.25</v>
      </c>
      <c r="Q124" s="80"/>
    </row>
    <row r="125" spans="3:17" ht="18">
      <c r="C125" s="71" t="s">
        <v>139</v>
      </c>
      <c r="J125" s="45">
        <v>0.05</v>
      </c>
      <c r="K125" s="10"/>
      <c r="L125" s="10"/>
      <c r="M125" s="10"/>
      <c r="N125" s="80">
        <f>$K$123*J125</f>
        <v>750</v>
      </c>
      <c r="O125" s="80"/>
      <c r="P125" s="80">
        <f>N125/$J$13</f>
        <v>15</v>
      </c>
      <c r="Q125" s="80"/>
    </row>
    <row r="126" spans="3:17" ht="18">
      <c r="C126" s="71" t="s">
        <v>140</v>
      </c>
      <c r="J126" s="45">
        <v>0.0075</v>
      </c>
      <c r="K126" s="10"/>
      <c r="L126" s="10"/>
      <c r="M126" s="10"/>
      <c r="N126" s="80">
        <f>$K$123*J126</f>
        <v>112.5</v>
      </c>
      <c r="O126" s="80"/>
      <c r="P126" s="80">
        <f>N126/$J$13</f>
        <v>2.25</v>
      </c>
      <c r="Q126" s="80"/>
    </row>
    <row r="127" spans="3:17" ht="18">
      <c r="C127" s="71" t="s">
        <v>141</v>
      </c>
      <c r="J127" s="45">
        <v>0.03</v>
      </c>
      <c r="N127" s="80">
        <f>$K$123*J127</f>
        <v>450</v>
      </c>
      <c r="O127" s="80"/>
      <c r="P127" s="80">
        <f>N127/$J$13</f>
        <v>9</v>
      </c>
      <c r="Q127" s="80"/>
    </row>
    <row r="128" spans="3:17" ht="18">
      <c r="C128" s="71" t="s">
        <v>142</v>
      </c>
      <c r="N128" s="80">
        <f>(K123-K123*M123)/L123</f>
        <v>637.5</v>
      </c>
      <c r="O128" s="80"/>
      <c r="P128" s="80">
        <f>N128/$J$13</f>
        <v>12.75</v>
      </c>
      <c r="Q128" s="80"/>
    </row>
    <row r="129" spans="3:17" ht="18">
      <c r="C129" s="99" t="s">
        <v>143</v>
      </c>
      <c r="N129" s="80">
        <f>SUM(N123:N128)</f>
        <v>2062.5</v>
      </c>
      <c r="O129" s="80"/>
      <c r="P129" s="80">
        <f>SUM(P124:P128)</f>
        <v>41.25</v>
      </c>
      <c r="Q129" s="80"/>
    </row>
    <row r="132" spans="2:17" ht="18">
      <c r="B132" s="71" t="s">
        <v>144</v>
      </c>
      <c r="I132" s="76" t="s">
        <v>87</v>
      </c>
      <c r="J132" s="76" t="s">
        <v>105</v>
      </c>
      <c r="K132" s="76" t="s">
        <v>145</v>
      </c>
      <c r="L132" s="76" t="s">
        <v>104</v>
      </c>
      <c r="M132" s="76" t="s">
        <v>146</v>
      </c>
      <c r="N132" s="76" t="s">
        <v>65</v>
      </c>
      <c r="O132" s="76"/>
      <c r="P132" s="76" t="s">
        <v>66</v>
      </c>
      <c r="Q132" s="76"/>
    </row>
    <row r="133" spans="3:17" ht="18">
      <c r="C133" s="71" t="s">
        <v>49</v>
      </c>
      <c r="I133" s="42">
        <v>60</v>
      </c>
      <c r="J133" s="42">
        <v>0.5</v>
      </c>
      <c r="K133" s="71">
        <f>I133*J133</f>
        <v>30</v>
      </c>
      <c r="L133" s="48">
        <v>20</v>
      </c>
      <c r="M133" s="13"/>
      <c r="N133" s="80">
        <f>I133*J133*L133</f>
        <v>600</v>
      </c>
      <c r="O133" s="80"/>
      <c r="P133" s="80">
        <f aca="true" t="shared" si="15" ref="P133:P140">N133/$J$13</f>
        <v>12</v>
      </c>
      <c r="Q133" s="80"/>
    </row>
    <row r="134" spans="3:17" ht="18">
      <c r="C134" s="71" t="s">
        <v>147</v>
      </c>
      <c r="I134" s="42">
        <v>150</v>
      </c>
      <c r="J134" s="42">
        <v>1</v>
      </c>
      <c r="K134" s="71">
        <f>I134*J134</f>
        <v>150</v>
      </c>
      <c r="L134" s="48">
        <v>12.5</v>
      </c>
      <c r="M134" s="13"/>
      <c r="N134" s="80">
        <f>I134*J134*L134</f>
        <v>1875</v>
      </c>
      <c r="O134" s="80"/>
      <c r="P134" s="80">
        <f t="shared" si="15"/>
        <v>37.5</v>
      </c>
      <c r="Q134" s="80"/>
    </row>
    <row r="135" spans="3:17" ht="18">
      <c r="C135" s="71" t="s">
        <v>52</v>
      </c>
      <c r="I135" s="42">
        <v>3</v>
      </c>
      <c r="J135" s="42">
        <v>8</v>
      </c>
      <c r="K135" s="71">
        <f>I135*J135</f>
        <v>24</v>
      </c>
      <c r="L135" s="48">
        <v>20</v>
      </c>
      <c r="M135" s="13"/>
      <c r="N135" s="80">
        <f>I135*J135*L135</f>
        <v>480</v>
      </c>
      <c r="O135" s="80"/>
      <c r="P135" s="80">
        <f t="shared" si="15"/>
        <v>9.6</v>
      </c>
      <c r="Q135" s="80"/>
    </row>
    <row r="136" spans="3:17" ht="19.5" customHeight="1">
      <c r="C136" s="71" t="s">
        <v>148</v>
      </c>
      <c r="I136" s="42">
        <v>24</v>
      </c>
      <c r="J136" s="42">
        <v>0.75</v>
      </c>
      <c r="K136" s="71">
        <f>I136*J136</f>
        <v>18</v>
      </c>
      <c r="L136" s="48">
        <v>20</v>
      </c>
      <c r="M136" s="13"/>
      <c r="N136" s="80">
        <f>I136*J136*L136</f>
        <v>360</v>
      </c>
      <c r="O136" s="80"/>
      <c r="P136" s="80">
        <f t="shared" si="15"/>
        <v>7.2</v>
      </c>
      <c r="Q136" s="80"/>
    </row>
    <row r="137" spans="3:17" ht="19.5" customHeight="1">
      <c r="C137" s="71" t="s">
        <v>55</v>
      </c>
      <c r="I137" s="42">
        <v>2</v>
      </c>
      <c r="J137" s="10"/>
      <c r="L137" s="13"/>
      <c r="M137" s="48">
        <v>200</v>
      </c>
      <c r="N137" s="80">
        <f>I137*M137</f>
        <v>400</v>
      </c>
      <c r="O137" s="80"/>
      <c r="P137" s="80">
        <f t="shared" si="15"/>
        <v>8</v>
      </c>
      <c r="Q137" s="80"/>
    </row>
    <row r="138" spans="3:17" ht="18">
      <c r="C138" s="71" t="s">
        <v>56</v>
      </c>
      <c r="I138" s="42">
        <v>365</v>
      </c>
      <c r="J138" s="10"/>
      <c r="L138" s="13"/>
      <c r="M138" s="48">
        <v>1</v>
      </c>
      <c r="N138" s="80">
        <f>I138*M138</f>
        <v>365</v>
      </c>
      <c r="O138" s="80"/>
      <c r="P138" s="80">
        <f t="shared" si="15"/>
        <v>7.3</v>
      </c>
      <c r="Q138" s="80"/>
    </row>
    <row r="139" spans="3:17" ht="18">
      <c r="C139" s="71" t="s">
        <v>59</v>
      </c>
      <c r="I139" s="42">
        <v>365</v>
      </c>
      <c r="J139" s="10"/>
      <c r="L139" s="13"/>
      <c r="M139" s="48">
        <v>1</v>
      </c>
      <c r="N139" s="80">
        <f>I139*M139</f>
        <v>365</v>
      </c>
      <c r="O139" s="80"/>
      <c r="P139" s="80">
        <f>N139/$J$13</f>
        <v>7.3</v>
      </c>
      <c r="Q139" s="80"/>
    </row>
    <row r="140" spans="3:17" ht="18">
      <c r="C140" s="71" t="s">
        <v>101</v>
      </c>
      <c r="I140" s="42">
        <v>0</v>
      </c>
      <c r="J140" s="10"/>
      <c r="L140" s="13"/>
      <c r="M140" s="48">
        <v>0</v>
      </c>
      <c r="N140" s="80">
        <f>I140*M140</f>
        <v>0</v>
      </c>
      <c r="O140" s="80"/>
      <c r="P140" s="80">
        <f t="shared" si="15"/>
        <v>0</v>
      </c>
      <c r="Q140" s="80"/>
    </row>
    <row r="141" spans="3:17" ht="18">
      <c r="C141" s="71" t="s">
        <v>149</v>
      </c>
      <c r="H141" s="45">
        <v>0.055</v>
      </c>
      <c r="J141" s="10"/>
      <c r="L141" s="13"/>
      <c r="M141" s="13"/>
      <c r="N141" s="80"/>
      <c r="O141" s="80"/>
      <c r="P141" s="80"/>
      <c r="Q141" s="80"/>
    </row>
    <row r="142" spans="8:17" ht="18">
      <c r="H142" s="11"/>
      <c r="J142" s="10"/>
      <c r="L142" s="13"/>
      <c r="M142" s="13"/>
      <c r="N142" s="80"/>
      <c r="O142" s="80"/>
      <c r="P142" s="80"/>
      <c r="Q142" s="80"/>
    </row>
    <row r="143" spans="3:17" ht="18">
      <c r="C143" s="99" t="s">
        <v>150</v>
      </c>
      <c r="K143" s="108">
        <f>SUM(K133:K142)</f>
        <v>222</v>
      </c>
      <c r="L143" s="80"/>
      <c r="M143" s="80"/>
      <c r="N143" s="80">
        <f>SUM(N133:N142)</f>
        <v>4445</v>
      </c>
      <c r="P143" s="80">
        <f>SUM(P133:P142)</f>
        <v>88.89999999999999</v>
      </c>
      <c r="Q143" s="80"/>
    </row>
  </sheetData>
  <sheetProtection/>
  <printOptions horizontalCentered="1" verticalCentered="1"/>
  <pageMargins left="0.7" right="0.7" top="0.75" bottom="1.16" header="0.3" footer="0.3"/>
  <pageSetup fitToHeight="2" fitToWidth="1" horizontalDpi="300" verticalDpi="300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77"/>
  <sheetViews>
    <sheetView showGridLines="0" tabSelected="1" zoomScale="90" zoomScaleNormal="90" zoomScalePageLayoutView="0" workbookViewId="0" topLeftCell="A1">
      <selection activeCell="P17" sqref="P17"/>
    </sheetView>
  </sheetViews>
  <sheetFormatPr defaultColWidth="9.140625" defaultRowHeight="12.75"/>
  <cols>
    <col min="1" max="1" width="4.00390625" style="0" customWidth="1"/>
    <col min="2" max="2" width="2.8515625" style="0" customWidth="1"/>
    <col min="3" max="3" width="3.57421875" style="0" customWidth="1"/>
    <col min="7" max="7" width="10.7109375" style="0" customWidth="1"/>
    <col min="8" max="8" width="14.7109375" style="0" customWidth="1"/>
    <col min="9" max="9" width="10.7109375" style="0" customWidth="1"/>
    <col min="11" max="12" width="12.7109375" style="0" customWidth="1"/>
    <col min="13" max="13" width="3.57421875" style="0" customWidth="1"/>
    <col min="14" max="14" width="12.140625" style="0" bestFit="1" customWidth="1"/>
  </cols>
  <sheetData>
    <row r="6" ht="1.5" customHeight="1"/>
    <row r="7" ht="95.25" customHeight="1"/>
    <row r="8" spans="1:14" ht="27">
      <c r="A8" s="3"/>
      <c r="B8" s="2"/>
      <c r="C8" s="2"/>
      <c r="D8" s="2"/>
      <c r="E8" s="2"/>
      <c r="F8" s="2"/>
      <c r="G8" s="2"/>
      <c r="H8" s="65" t="str">
        <f>'Cow-Calf Data Input'!$J$10</f>
        <v>War Eagle Farms</v>
      </c>
      <c r="I8" s="2"/>
      <c r="J8" s="2"/>
      <c r="K8" s="2"/>
      <c r="L8" s="2"/>
      <c r="M8" s="2"/>
      <c r="N8" s="2"/>
    </row>
    <row r="9" spans="1:14" ht="23.25">
      <c r="A9" s="38" t="s">
        <v>1</v>
      </c>
      <c r="B9" s="37"/>
      <c r="C9" s="37"/>
      <c r="D9" s="37"/>
      <c r="E9" s="37"/>
      <c r="F9" s="37"/>
      <c r="G9" s="37"/>
      <c r="H9" s="63" t="str">
        <f>'Cow-Calf Data Input'!$J$12</f>
        <v>Fall</v>
      </c>
      <c r="I9" s="37" t="s">
        <v>152</v>
      </c>
      <c r="J9" s="40"/>
      <c r="K9" s="37"/>
      <c r="L9" s="39">
        <f>'Cow-Calf Data Input'!$J$11</f>
        <v>2017</v>
      </c>
      <c r="M9" s="53"/>
      <c r="N9" s="54"/>
    </row>
    <row r="10" spans="1:14" ht="18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ht="15.75">
      <c r="A11" s="19" t="s">
        <v>4</v>
      </c>
      <c r="B11" s="20" t="s">
        <v>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.75">
      <c r="A12" s="19"/>
      <c r="B12" s="19" t="s">
        <v>4</v>
      </c>
      <c r="C12" s="21">
        <v>1</v>
      </c>
      <c r="D12" s="20" t="s">
        <v>8</v>
      </c>
      <c r="E12" s="20"/>
      <c r="F12" s="20"/>
      <c r="G12" s="20"/>
      <c r="H12" s="20"/>
      <c r="I12" s="20"/>
      <c r="J12" s="20"/>
      <c r="K12" s="20"/>
      <c r="L12" s="22">
        <f>'Cow-Calf Data Input'!J28</f>
        <v>0.9</v>
      </c>
      <c r="M12" s="20"/>
      <c r="N12" s="20"/>
      <c r="O12" s="20"/>
    </row>
    <row r="13" spans="1:15" ht="15.75">
      <c r="A13" s="19"/>
      <c r="B13" s="19" t="s">
        <v>4</v>
      </c>
      <c r="C13" s="21">
        <f aca="true" t="shared" si="0" ref="C13:C24">C12+1</f>
        <v>2</v>
      </c>
      <c r="D13" s="20" t="s">
        <v>10</v>
      </c>
      <c r="E13" s="20"/>
      <c r="F13" s="20"/>
      <c r="G13" s="20"/>
      <c r="H13" s="20"/>
      <c r="I13" s="20"/>
      <c r="J13" s="20"/>
      <c r="K13" s="20"/>
      <c r="L13" s="23">
        <f>'Cow-Calf Data Input'!$J$31*'Cow-Calf Data Input'!M29+(1-'Cow-Calf Data Input'!$J$31)*'Cow-Calf Data Input'!M30</f>
        <v>625</v>
      </c>
      <c r="M13" s="20"/>
      <c r="N13" s="20"/>
      <c r="O13" s="20"/>
    </row>
    <row r="14" spans="1:15" ht="15.75">
      <c r="A14" s="19"/>
      <c r="B14" s="19" t="s">
        <v>4</v>
      </c>
      <c r="C14" s="21">
        <f t="shared" si="0"/>
        <v>3</v>
      </c>
      <c r="D14" s="20" t="s">
        <v>12</v>
      </c>
      <c r="E14" s="20"/>
      <c r="F14" s="20"/>
      <c r="G14" s="20"/>
      <c r="H14" s="20"/>
      <c r="I14" s="20"/>
      <c r="J14" s="20"/>
      <c r="K14" s="24"/>
      <c r="L14" s="24">
        <f>'Cow-Calf Data Input'!$J$13*L12*L13</f>
        <v>28125</v>
      </c>
      <c r="M14" s="24"/>
      <c r="N14" s="20"/>
      <c r="O14" s="20"/>
    </row>
    <row r="15" spans="1:15" ht="15.75">
      <c r="A15" s="19"/>
      <c r="B15" s="19" t="s">
        <v>4</v>
      </c>
      <c r="C15" s="21">
        <f t="shared" si="0"/>
        <v>4</v>
      </c>
      <c r="D15" s="20" t="s">
        <v>14</v>
      </c>
      <c r="E15" s="20"/>
      <c r="F15" s="20"/>
      <c r="G15" s="20"/>
      <c r="H15" s="20"/>
      <c r="I15" s="20"/>
      <c r="J15" s="20"/>
      <c r="K15" s="25"/>
      <c r="L15" s="25">
        <f>L14/'Cow-Calf Data Input'!$J$13</f>
        <v>562.5</v>
      </c>
      <c r="M15" s="25"/>
      <c r="N15" s="20"/>
      <c r="O15" s="20"/>
    </row>
    <row r="16" spans="1:15" ht="15.75">
      <c r="A16" s="19"/>
      <c r="B16" s="19" t="s">
        <v>4</v>
      </c>
      <c r="C16" s="21">
        <f t="shared" si="0"/>
        <v>5</v>
      </c>
      <c r="D16" s="20" t="s">
        <v>16</v>
      </c>
      <c r="E16" s="20"/>
      <c r="F16" s="20"/>
      <c r="G16" s="20"/>
      <c r="H16" s="20"/>
      <c r="I16" s="20"/>
      <c r="J16" s="20"/>
      <c r="K16" s="26"/>
      <c r="L16" s="26">
        <f>'Cow-Calf Data Input'!$J$31*'Cow-Calf Data Input'!J38+(1-'Cow-Calf Data Input'!$J$31)*'Cow-Calf Data Input'!J40</f>
        <v>1.4</v>
      </c>
      <c r="M16" s="26"/>
      <c r="N16" s="20"/>
      <c r="O16" s="20"/>
    </row>
    <row r="17" spans="1:15" ht="15.75">
      <c r="A17" s="19"/>
      <c r="B17" s="19" t="s">
        <v>4</v>
      </c>
      <c r="C17" s="21">
        <f t="shared" si="0"/>
        <v>6</v>
      </c>
      <c r="D17" s="20" t="s">
        <v>18</v>
      </c>
      <c r="E17" s="20"/>
      <c r="F17" s="20"/>
      <c r="G17" s="20"/>
      <c r="H17" s="20"/>
      <c r="I17" s="20"/>
      <c r="J17" s="20"/>
      <c r="K17" s="24"/>
      <c r="L17" s="24">
        <f>'Cow-Calf Data Input'!$J$33*'Cow-Calf Data Input'!$J$32*'Cow-Calf Data Input'!$J$13</f>
        <v>7700.000000000002</v>
      </c>
      <c r="M17" s="24"/>
      <c r="N17" s="20"/>
      <c r="O17" s="20"/>
    </row>
    <row r="18" spans="1:15" ht="15.75">
      <c r="A18" s="19"/>
      <c r="B18" s="19" t="s">
        <v>4</v>
      </c>
      <c r="C18" s="21">
        <f t="shared" si="0"/>
        <v>7</v>
      </c>
      <c r="D18" s="20" t="s">
        <v>21</v>
      </c>
      <c r="E18" s="20"/>
      <c r="F18" s="20"/>
      <c r="G18" s="20"/>
      <c r="H18" s="20"/>
      <c r="I18" s="20"/>
      <c r="J18" s="22"/>
      <c r="K18" s="28"/>
      <c r="L18" s="28">
        <f>'Cow-Calf Data Input'!$J$32</f>
        <v>1100</v>
      </c>
      <c r="M18" s="28"/>
      <c r="N18" s="20"/>
      <c r="O18" s="20"/>
    </row>
    <row r="19" spans="1:15" ht="15.75">
      <c r="A19" s="19"/>
      <c r="B19" s="19" t="s">
        <v>4</v>
      </c>
      <c r="C19" s="21">
        <f t="shared" si="0"/>
        <v>8</v>
      </c>
      <c r="D19" s="20" t="s">
        <v>23</v>
      </c>
      <c r="E19" s="20"/>
      <c r="F19" s="20"/>
      <c r="G19" s="20"/>
      <c r="H19" s="20"/>
      <c r="I19" s="20"/>
      <c r="J19" s="20"/>
      <c r="K19" s="20"/>
      <c r="L19" s="20">
        <f>L17/'Cow-Calf Data Input'!$J$13</f>
        <v>154.00000000000003</v>
      </c>
      <c r="M19" s="20"/>
      <c r="N19" s="20"/>
      <c r="O19" s="20"/>
    </row>
    <row r="20" spans="1:15" ht="15.75">
      <c r="A20" s="19"/>
      <c r="B20" s="19" t="s">
        <v>4</v>
      </c>
      <c r="C20" s="21">
        <f t="shared" si="0"/>
        <v>9</v>
      </c>
      <c r="D20" s="20" t="s">
        <v>26</v>
      </c>
      <c r="E20" s="20"/>
      <c r="F20" s="20"/>
      <c r="G20" s="20"/>
      <c r="H20" s="20"/>
      <c r="I20" s="20"/>
      <c r="J20" s="29"/>
      <c r="K20" s="26"/>
      <c r="L20" s="26">
        <f>'Cow-Calf Data Input'!$J$42</f>
        <v>0.65</v>
      </c>
      <c r="M20" s="26"/>
      <c r="N20" s="20"/>
      <c r="O20" s="20"/>
    </row>
    <row r="21" spans="1:15" ht="15.75">
      <c r="A21" s="19"/>
      <c r="B21" s="19" t="s">
        <v>4</v>
      </c>
      <c r="C21" s="21">
        <f t="shared" si="0"/>
        <v>10</v>
      </c>
      <c r="D21" s="30" t="s">
        <v>27</v>
      </c>
      <c r="E21" s="20"/>
      <c r="F21" s="20"/>
      <c r="G21" s="20"/>
      <c r="H21" s="20"/>
      <c r="I21" s="20"/>
      <c r="J21" s="20"/>
      <c r="K21" s="31"/>
      <c r="L21" s="31">
        <f>L14*L16+L17*L20</f>
        <v>44380</v>
      </c>
      <c r="M21" s="31"/>
      <c r="N21" s="20"/>
      <c r="O21" s="20"/>
    </row>
    <row r="22" spans="1:15" ht="15.75">
      <c r="A22" s="19"/>
      <c r="B22" s="19" t="s">
        <v>4</v>
      </c>
      <c r="C22" s="21">
        <f t="shared" si="0"/>
        <v>11</v>
      </c>
      <c r="D22" s="20" t="s">
        <v>29</v>
      </c>
      <c r="E22" s="20"/>
      <c r="F22" s="20"/>
      <c r="G22" s="20"/>
      <c r="H22" s="20"/>
      <c r="I22" s="20"/>
      <c r="J22" s="20"/>
      <c r="K22" s="26"/>
      <c r="L22" s="26">
        <f>L15*L16</f>
        <v>787.5</v>
      </c>
      <c r="M22" s="26"/>
      <c r="N22" s="20"/>
      <c r="O22" s="20"/>
    </row>
    <row r="23" spans="1:15" ht="15.75">
      <c r="A23" s="19"/>
      <c r="B23" s="19" t="s">
        <v>4</v>
      </c>
      <c r="C23" s="21">
        <f t="shared" si="0"/>
        <v>12</v>
      </c>
      <c r="D23" s="20" t="s">
        <v>31</v>
      </c>
      <c r="E23" s="20"/>
      <c r="F23" s="20"/>
      <c r="G23" s="20"/>
      <c r="H23" s="20"/>
      <c r="I23" s="20"/>
      <c r="J23" s="26"/>
      <c r="K23" s="26"/>
      <c r="L23" s="26">
        <f>L19*L20</f>
        <v>100.10000000000002</v>
      </c>
      <c r="M23" s="26"/>
      <c r="N23" s="20"/>
      <c r="O23" s="20"/>
    </row>
    <row r="24" spans="1:15" ht="15.75">
      <c r="A24" s="19"/>
      <c r="B24" s="19" t="s">
        <v>4</v>
      </c>
      <c r="C24" s="21">
        <f t="shared" si="0"/>
        <v>13</v>
      </c>
      <c r="D24" s="30" t="s">
        <v>32</v>
      </c>
      <c r="E24" s="20"/>
      <c r="F24" s="20"/>
      <c r="G24" s="20"/>
      <c r="H24" s="20"/>
      <c r="I24" s="20"/>
      <c r="J24" s="20"/>
      <c r="K24" s="26"/>
      <c r="L24" s="26">
        <f>L22+L23</f>
        <v>887.6</v>
      </c>
      <c r="M24" s="26"/>
      <c r="N24" s="20"/>
      <c r="O24" s="20"/>
    </row>
    <row r="25" spans="1:15" ht="15.7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 t="s">
        <v>173</v>
      </c>
      <c r="O25" s="20"/>
    </row>
    <row r="26" spans="1:15" ht="15.75">
      <c r="A26" s="19" t="s">
        <v>33</v>
      </c>
      <c r="B26" s="20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1" t="s">
        <v>66</v>
      </c>
      <c r="M26" s="20"/>
      <c r="N26" s="21" t="s">
        <v>174</v>
      </c>
      <c r="O26" s="20"/>
    </row>
    <row r="27" spans="1:15" ht="15.75">
      <c r="A27" s="19"/>
      <c r="B27" s="19" t="s">
        <v>33</v>
      </c>
      <c r="C27" s="21">
        <v>1</v>
      </c>
      <c r="D27" s="20" t="s">
        <v>39</v>
      </c>
      <c r="E27" s="20"/>
      <c r="F27" s="20"/>
      <c r="G27" s="20"/>
      <c r="H27" s="20"/>
      <c r="I27" s="20"/>
      <c r="J27" s="20"/>
      <c r="K27" s="26"/>
      <c r="L27" s="26">
        <f>'Cow-Calf Data Input'!$P$55</f>
        <v>294.967</v>
      </c>
      <c r="M27" s="26"/>
      <c r="N27" s="22">
        <f>L27/$L$46</f>
        <v>0.302591708596541</v>
      </c>
      <c r="O27" s="20"/>
    </row>
    <row r="28" spans="1:15" ht="15.75">
      <c r="A28" s="19"/>
      <c r="B28" s="19" t="s">
        <v>33</v>
      </c>
      <c r="C28" s="21">
        <f aca="true" t="shared" si="1" ref="C28:C46">C27+1</f>
        <v>2</v>
      </c>
      <c r="D28" s="20" t="s">
        <v>41</v>
      </c>
      <c r="E28" s="20"/>
      <c r="F28" s="20"/>
      <c r="G28" s="20"/>
      <c r="H28" s="20"/>
      <c r="I28" s="20"/>
      <c r="J28" s="20"/>
      <c r="K28" s="26"/>
      <c r="L28" s="26">
        <f>'Cow-Calf Data Input'!$P$71</f>
        <v>109.955</v>
      </c>
      <c r="M28" s="26"/>
      <c r="N28" s="22">
        <f aca="true" t="shared" si="2" ref="N28:N46">L28/$L$46</f>
        <v>0.11279726653738441</v>
      </c>
      <c r="O28" s="20"/>
    </row>
    <row r="29" spans="1:15" ht="15.75">
      <c r="A29" s="19"/>
      <c r="B29" s="19" t="s">
        <v>33</v>
      </c>
      <c r="C29" s="21">
        <f t="shared" si="1"/>
        <v>3</v>
      </c>
      <c r="D29" s="20" t="s">
        <v>43</v>
      </c>
      <c r="E29" s="20"/>
      <c r="F29" s="20"/>
      <c r="G29" s="20"/>
      <c r="H29" s="20"/>
      <c r="I29" s="20"/>
      <c r="J29" s="20"/>
      <c r="K29" s="26"/>
      <c r="L29" s="26">
        <f>'Cow-Calf Data Input'!$P$84</f>
        <v>97.1</v>
      </c>
      <c r="M29" s="26"/>
      <c r="N29" s="22">
        <f t="shared" si="2"/>
        <v>0.09960997299604407</v>
      </c>
      <c r="O29" s="20"/>
    </row>
    <row r="30" spans="1:15" ht="15.75">
      <c r="A30" s="19"/>
      <c r="B30" s="19" t="s">
        <v>33</v>
      </c>
      <c r="C30" s="21">
        <f t="shared" si="1"/>
        <v>4</v>
      </c>
      <c r="D30" s="20" t="s">
        <v>45</v>
      </c>
      <c r="E30" s="20"/>
      <c r="F30" s="20"/>
      <c r="G30" s="20"/>
      <c r="H30" s="20"/>
      <c r="I30" s="20"/>
      <c r="J30" s="20"/>
      <c r="K30" s="26"/>
      <c r="L30" s="26">
        <f>'Cow-Calf Data Input'!$P$119</f>
        <v>37.6864</v>
      </c>
      <c r="M30" s="26"/>
      <c r="N30" s="22">
        <f t="shared" si="2"/>
        <v>0.03866056937505783</v>
      </c>
      <c r="O30" s="20"/>
    </row>
    <row r="31" spans="1:15" ht="15.75">
      <c r="A31" s="19"/>
      <c r="B31" s="19" t="s">
        <v>33</v>
      </c>
      <c r="C31" s="21">
        <f t="shared" si="1"/>
        <v>5</v>
      </c>
      <c r="D31" s="20" t="s">
        <v>46</v>
      </c>
      <c r="E31" s="20"/>
      <c r="F31" s="20"/>
      <c r="G31" s="20"/>
      <c r="H31" s="20"/>
      <c r="I31" s="20"/>
      <c r="J31" s="20"/>
      <c r="K31" s="26"/>
      <c r="L31" s="26">
        <f>'Cow-Calf Data Input'!$P$129-'Cow-Calf Data Input'!$P$125</f>
        <v>26.25</v>
      </c>
      <c r="M31" s="26"/>
      <c r="N31" s="22">
        <f t="shared" si="2"/>
        <v>0.026928545737859494</v>
      </c>
      <c r="O31" s="20"/>
    </row>
    <row r="32" spans="1:15" ht="15.75">
      <c r="A32" s="19"/>
      <c r="B32" s="19" t="s">
        <v>33</v>
      </c>
      <c r="C32" s="21">
        <f t="shared" si="1"/>
        <v>6</v>
      </c>
      <c r="D32" s="20" t="s">
        <v>48</v>
      </c>
      <c r="E32" s="20"/>
      <c r="F32" s="20"/>
      <c r="G32" s="20"/>
      <c r="H32" s="20"/>
      <c r="I32" s="20"/>
      <c r="J32" s="20"/>
      <c r="K32" s="26"/>
      <c r="L32" s="26">
        <f>'Cow-Calf Data Input'!$P$125</f>
        <v>15</v>
      </c>
      <c r="M32" s="26"/>
      <c r="N32" s="22">
        <f t="shared" si="2"/>
        <v>0.015387740421633997</v>
      </c>
      <c r="O32" s="20"/>
    </row>
    <row r="33" spans="1:15" ht="15.75">
      <c r="A33" s="19"/>
      <c r="B33" s="19" t="s">
        <v>33</v>
      </c>
      <c r="C33" s="21">
        <f t="shared" si="1"/>
        <v>7</v>
      </c>
      <c r="D33" s="20" t="s">
        <v>49</v>
      </c>
      <c r="E33" s="20"/>
      <c r="F33" s="20"/>
      <c r="G33" s="20"/>
      <c r="H33" s="20"/>
      <c r="I33" s="20"/>
      <c r="J33" s="20"/>
      <c r="K33" s="26"/>
      <c r="L33" s="26">
        <f>'Cow-Calf Data Input'!$P$133</f>
        <v>12</v>
      </c>
      <c r="M33" s="26"/>
      <c r="N33" s="22">
        <f t="shared" si="2"/>
        <v>0.012310192337307197</v>
      </c>
      <c r="O33" s="20"/>
    </row>
    <row r="34" spans="1:15" ht="15.75">
      <c r="A34" s="19"/>
      <c r="B34" s="19" t="s">
        <v>33</v>
      </c>
      <c r="C34" s="21">
        <f t="shared" si="1"/>
        <v>8</v>
      </c>
      <c r="D34" s="20" t="s">
        <v>50</v>
      </c>
      <c r="E34" s="20"/>
      <c r="F34" s="20"/>
      <c r="G34" s="20"/>
      <c r="H34" s="20"/>
      <c r="I34" s="20"/>
      <c r="J34" s="20"/>
      <c r="K34" s="26"/>
      <c r="L34" s="26">
        <f>'Cow-Calf Data Input'!$P$134</f>
        <v>37.5</v>
      </c>
      <c r="M34" s="26"/>
      <c r="N34" s="22">
        <f t="shared" si="2"/>
        <v>0.03846935105408499</v>
      </c>
      <c r="O34" s="20"/>
    </row>
    <row r="35" spans="1:15" ht="15.75">
      <c r="A35" s="19"/>
      <c r="B35" s="19" t="s">
        <v>33</v>
      </c>
      <c r="C35" s="21">
        <f t="shared" si="1"/>
        <v>9</v>
      </c>
      <c r="D35" s="20" t="s">
        <v>52</v>
      </c>
      <c r="E35" s="20"/>
      <c r="F35" s="20"/>
      <c r="G35" s="20"/>
      <c r="H35" s="20"/>
      <c r="I35" s="20"/>
      <c r="J35" s="20"/>
      <c r="K35" s="26"/>
      <c r="L35" s="26">
        <f>'Cow-Calf Data Input'!$P$135</f>
        <v>9.6</v>
      </c>
      <c r="M35" s="26"/>
      <c r="N35" s="22">
        <f t="shared" si="2"/>
        <v>0.009848153869845758</v>
      </c>
      <c r="O35" s="20"/>
    </row>
    <row r="36" spans="1:15" ht="15.75">
      <c r="A36" s="19"/>
      <c r="B36" s="19" t="s">
        <v>33</v>
      </c>
      <c r="C36" s="21">
        <f t="shared" si="1"/>
        <v>10</v>
      </c>
      <c r="D36" s="20" t="s">
        <v>53</v>
      </c>
      <c r="E36" s="20"/>
      <c r="F36" s="20"/>
      <c r="G36" s="20"/>
      <c r="H36" s="20"/>
      <c r="I36" s="20"/>
      <c r="J36" s="20"/>
      <c r="K36" s="26"/>
      <c r="L36" s="26">
        <f>'Cow-Calf Data Input'!$P$136</f>
        <v>7.2</v>
      </c>
      <c r="M36" s="26"/>
      <c r="N36" s="22">
        <f t="shared" si="2"/>
        <v>0.007386115402384319</v>
      </c>
      <c r="O36" s="20"/>
    </row>
    <row r="37" spans="1:15" ht="15.75">
      <c r="A37" s="19"/>
      <c r="B37" s="19" t="s">
        <v>33</v>
      </c>
      <c r="C37" s="21">
        <f t="shared" si="1"/>
        <v>11</v>
      </c>
      <c r="D37" s="20" t="s">
        <v>55</v>
      </c>
      <c r="E37" s="20"/>
      <c r="F37" s="20"/>
      <c r="G37" s="20"/>
      <c r="H37" s="20"/>
      <c r="I37" s="20"/>
      <c r="J37" s="20"/>
      <c r="K37" s="26"/>
      <c r="L37" s="26">
        <f>'Cow-Calf Data Input'!$P$137</f>
        <v>8</v>
      </c>
      <c r="M37" s="26"/>
      <c r="N37" s="22">
        <f t="shared" si="2"/>
        <v>0.008206794891538131</v>
      </c>
      <c r="O37" s="20"/>
    </row>
    <row r="38" spans="1:15" ht="15.75">
      <c r="A38" s="19"/>
      <c r="B38" s="19" t="s">
        <v>33</v>
      </c>
      <c r="C38" s="21">
        <f t="shared" si="1"/>
        <v>12</v>
      </c>
      <c r="D38" s="20" t="s">
        <v>56</v>
      </c>
      <c r="E38" s="20"/>
      <c r="F38" s="20"/>
      <c r="G38" s="20"/>
      <c r="H38" s="20"/>
      <c r="I38" s="20"/>
      <c r="J38" s="20"/>
      <c r="K38" s="26"/>
      <c r="L38" s="26">
        <f>'Cow-Calf Data Input'!$P$138</f>
        <v>7.3</v>
      </c>
      <c r="M38" s="26"/>
      <c r="N38" s="22">
        <f t="shared" si="2"/>
        <v>0.007488700338528545</v>
      </c>
      <c r="O38" s="20"/>
    </row>
    <row r="39" spans="1:15" ht="15.75">
      <c r="A39" s="19"/>
      <c r="B39" s="19" t="s">
        <v>33</v>
      </c>
      <c r="C39" s="21">
        <f t="shared" si="1"/>
        <v>13</v>
      </c>
      <c r="D39" s="20" t="s">
        <v>58</v>
      </c>
      <c r="E39" s="20"/>
      <c r="F39" s="20"/>
      <c r="G39" s="20"/>
      <c r="H39" s="20"/>
      <c r="I39" s="20"/>
      <c r="J39" s="20"/>
      <c r="K39" s="26"/>
      <c r="L39" s="26">
        <f>L21*'Cow-Calf Data Input'!$J$43/'Cow-Calf Data Input'!$J$13</f>
        <v>35.504</v>
      </c>
      <c r="M39" s="26"/>
      <c r="N39" s="22">
        <f t="shared" si="2"/>
        <v>0.03642175572864623</v>
      </c>
      <c r="O39" s="20"/>
    </row>
    <row r="40" spans="1:15" ht="15.75">
      <c r="A40" s="19"/>
      <c r="B40" s="19" t="s">
        <v>33</v>
      </c>
      <c r="C40" s="21">
        <f t="shared" si="1"/>
        <v>14</v>
      </c>
      <c r="D40" s="20" t="s">
        <v>59</v>
      </c>
      <c r="E40" s="20"/>
      <c r="F40" s="20"/>
      <c r="G40" s="20"/>
      <c r="H40" s="20"/>
      <c r="I40" s="20"/>
      <c r="J40" s="20"/>
      <c r="K40" s="26"/>
      <c r="L40" s="26">
        <f>'Cow-Calf Data Input'!$P$140</f>
        <v>0</v>
      </c>
      <c r="M40" s="26"/>
      <c r="N40" s="22">
        <f t="shared" si="2"/>
        <v>0</v>
      </c>
      <c r="O40" s="20"/>
    </row>
    <row r="41" spans="1:15" ht="15.75">
      <c r="A41" s="19"/>
      <c r="B41" s="19" t="s">
        <v>33</v>
      </c>
      <c r="C41" s="21">
        <f t="shared" si="1"/>
        <v>15</v>
      </c>
      <c r="D41" s="20" t="s">
        <v>61</v>
      </c>
      <c r="E41" s="20"/>
      <c r="F41" s="20"/>
      <c r="G41" s="20"/>
      <c r="H41" s="20"/>
      <c r="I41" s="20"/>
      <c r="J41" s="20"/>
      <c r="K41" s="26"/>
      <c r="L41" s="26">
        <f>'Cow-Calf Data Input'!$M$17</f>
        <v>150</v>
      </c>
      <c r="M41" s="26"/>
      <c r="N41" s="22">
        <f t="shared" si="2"/>
        <v>0.15387740421633997</v>
      </c>
      <c r="O41" s="20"/>
    </row>
    <row r="42" spans="1:15" ht="15.75">
      <c r="A42" s="19"/>
      <c r="B42" s="19" t="s">
        <v>33</v>
      </c>
      <c r="C42" s="21">
        <f t="shared" si="1"/>
        <v>16</v>
      </c>
      <c r="D42" s="20" t="s">
        <v>192</v>
      </c>
      <c r="E42" s="20"/>
      <c r="F42" s="20"/>
      <c r="G42" s="20"/>
      <c r="H42" s="20"/>
      <c r="I42" s="20"/>
      <c r="J42" s="20"/>
      <c r="K42" s="26"/>
      <c r="L42" s="26">
        <f>'Cow-Calf Data Input'!$M$25</f>
        <v>33</v>
      </c>
      <c r="M42" s="26"/>
      <c r="N42" s="22">
        <f t="shared" si="2"/>
        <v>0.03385302892759479</v>
      </c>
      <c r="O42" s="20"/>
    </row>
    <row r="43" spans="1:15" ht="15.75">
      <c r="A43" s="19"/>
      <c r="B43" s="19" t="s">
        <v>33</v>
      </c>
      <c r="C43" s="21">
        <f t="shared" si="1"/>
        <v>17</v>
      </c>
      <c r="D43" s="20" t="s">
        <v>166</v>
      </c>
      <c r="E43" s="20"/>
      <c r="F43" s="20"/>
      <c r="G43" s="20"/>
      <c r="H43" s="20"/>
      <c r="I43" s="20"/>
      <c r="J43" s="20"/>
      <c r="K43" s="26"/>
      <c r="L43" s="26">
        <f>'Cow-Calf Data Input'!$M$21*'Cow-Calf Data Input'!J22</f>
        <v>67.65</v>
      </c>
      <c r="M43" s="26"/>
      <c r="N43" s="22">
        <f t="shared" si="2"/>
        <v>0.06939870930156933</v>
      </c>
      <c r="O43" s="20"/>
    </row>
    <row r="44" spans="1:15" ht="15.75">
      <c r="A44" s="19"/>
      <c r="B44" s="19" t="s">
        <v>33</v>
      </c>
      <c r="C44" s="21">
        <f t="shared" si="1"/>
        <v>18</v>
      </c>
      <c r="D44" s="20" t="s">
        <v>62</v>
      </c>
      <c r="E44" s="20"/>
      <c r="F44" s="20"/>
      <c r="G44" s="20"/>
      <c r="H44" s="20"/>
      <c r="I44" s="20"/>
      <c r="J44" s="20"/>
      <c r="K44" s="26"/>
      <c r="L44" s="26">
        <f>'Cow-Calf Data Input'!$M$21*('Cow-Calf Data Input'!$J$23+'Cow-Calf Data Input'!$J$24)</f>
        <v>0</v>
      </c>
      <c r="M44" s="26"/>
      <c r="N44" s="22">
        <f t="shared" si="2"/>
        <v>0</v>
      </c>
      <c r="O44" s="20"/>
    </row>
    <row r="45" spans="1:15" ht="18.75">
      <c r="A45" s="19"/>
      <c r="B45" s="19" t="s">
        <v>33</v>
      </c>
      <c r="C45" s="21">
        <f t="shared" si="1"/>
        <v>19</v>
      </c>
      <c r="D45" s="20" t="s">
        <v>154</v>
      </c>
      <c r="E45" s="20"/>
      <c r="F45" s="20"/>
      <c r="G45" s="20"/>
      <c r="H45" s="20"/>
      <c r="I45" s="20"/>
      <c r="J45" s="20"/>
      <c r="K45" s="26"/>
      <c r="L45" s="26">
        <f>SUM(L27:L44)*'Cow-Calf Data Input'!$H$141*0.5</f>
        <v>26.089591</v>
      </c>
      <c r="M45" s="26"/>
      <c r="N45" s="22">
        <f t="shared" si="2"/>
        <v>0.0267639902676399</v>
      </c>
      <c r="O45" s="20"/>
    </row>
    <row r="46" spans="1:15" ht="15.75">
      <c r="A46" s="19"/>
      <c r="B46" s="19" t="s">
        <v>33</v>
      </c>
      <c r="C46" s="21">
        <f t="shared" si="1"/>
        <v>20</v>
      </c>
      <c r="D46" s="30" t="s">
        <v>68</v>
      </c>
      <c r="E46" s="20"/>
      <c r="F46" s="20"/>
      <c r="G46" s="20"/>
      <c r="H46" s="20"/>
      <c r="I46" s="20"/>
      <c r="J46" s="20"/>
      <c r="K46" s="26"/>
      <c r="L46" s="26">
        <f>SUM(L27:L45)</f>
        <v>974.801991</v>
      </c>
      <c r="M46" s="26"/>
      <c r="N46" s="22">
        <f t="shared" si="2"/>
        <v>1</v>
      </c>
      <c r="O46" s="20"/>
    </row>
    <row r="47" spans="1:15" ht="15.7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.75">
      <c r="A48" s="19" t="s">
        <v>70</v>
      </c>
      <c r="B48" s="20" t="s">
        <v>161</v>
      </c>
      <c r="C48" s="20"/>
      <c r="D48" s="20"/>
      <c r="E48" s="20"/>
      <c r="F48" s="20"/>
      <c r="G48" s="20"/>
      <c r="H48" s="20"/>
      <c r="I48" s="20"/>
      <c r="J48" s="20"/>
      <c r="K48" s="26"/>
      <c r="L48" s="26">
        <f>L24-L46</f>
        <v>-87.20199100000002</v>
      </c>
      <c r="M48" s="26"/>
      <c r="N48" s="20"/>
      <c r="O48" s="20"/>
    </row>
    <row r="49" spans="1:15" ht="15.7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.75">
      <c r="A50" s="19" t="s">
        <v>73</v>
      </c>
      <c r="B50" s="20" t="s">
        <v>211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.75">
      <c r="A51" s="19"/>
      <c r="B51" s="19" t="s">
        <v>73</v>
      </c>
      <c r="C51" s="21">
        <v>1</v>
      </c>
      <c r="D51" s="20" t="s">
        <v>76</v>
      </c>
      <c r="E51" s="20"/>
      <c r="F51" s="20"/>
      <c r="G51" s="20"/>
      <c r="H51" s="20"/>
      <c r="I51" s="20"/>
      <c r="J51" s="20"/>
      <c r="K51" s="26"/>
      <c r="L51" s="26">
        <f>(L27+L28)/(L15*0.01)</f>
        <v>71.98613333333333</v>
      </c>
      <c r="M51" s="26"/>
      <c r="N51" s="20"/>
      <c r="O51" s="20"/>
    </row>
    <row r="52" spans="1:15" ht="15.75">
      <c r="A52" s="19"/>
      <c r="B52" s="19" t="s">
        <v>73</v>
      </c>
      <c r="C52" s="21">
        <v>2</v>
      </c>
      <c r="D52" s="20" t="s">
        <v>172</v>
      </c>
      <c r="E52" s="20"/>
      <c r="F52" s="20"/>
      <c r="G52" s="20"/>
      <c r="H52" s="20"/>
      <c r="I52" s="20"/>
      <c r="J52" s="20"/>
      <c r="K52" s="26"/>
      <c r="L52" s="26">
        <f>(L46-L23)/(L15*0.01)</f>
        <v>155.50257617777777</v>
      </c>
      <c r="M52" s="26"/>
      <c r="N52" s="20"/>
      <c r="O52" s="20"/>
    </row>
    <row r="53" spans="1:15" ht="15.7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8.75">
      <c r="A54" s="19" t="s">
        <v>78</v>
      </c>
      <c r="B54" s="32" t="s">
        <v>155</v>
      </c>
      <c r="C54" s="32"/>
      <c r="D54" s="32"/>
      <c r="E54" s="32"/>
      <c r="F54" s="32"/>
      <c r="G54" s="32"/>
      <c r="H54" s="32"/>
      <c r="I54" s="32"/>
      <c r="J54" s="32"/>
      <c r="K54" s="36"/>
      <c r="L54" s="36">
        <f>L24/('Cow-Calf Data Input'!$M$21+'Cow-Calf Data Input'!$P$84+'Cow-Calf Data Input'!$P$123)</f>
        <v>0.545510417306865</v>
      </c>
      <c r="M54" s="36"/>
      <c r="N54" s="20"/>
      <c r="O54" s="20"/>
    </row>
    <row r="55" spans="1:15" ht="15.75">
      <c r="A55" s="19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0"/>
      <c r="O55" s="20"/>
    </row>
    <row r="56" spans="1:15" ht="15.75">
      <c r="A56" s="19" t="s">
        <v>80</v>
      </c>
      <c r="B56" s="32" t="s">
        <v>84</v>
      </c>
      <c r="C56" s="32"/>
      <c r="D56" s="32"/>
      <c r="E56" s="32"/>
      <c r="F56" s="32"/>
      <c r="G56" s="32"/>
      <c r="H56" s="32"/>
      <c r="I56" s="32"/>
      <c r="J56" s="32"/>
      <c r="K56" s="33"/>
      <c r="L56" s="33">
        <f>(L48+L45+L43+L32)/('Cow-Calf Data Input'!$M$21+'Cow-Calf Data Input'!$P$84+'Cow-Calf Data Input'!$P$123)</f>
        <v>0.013236801671685812</v>
      </c>
      <c r="M56" s="33"/>
      <c r="N56" s="20"/>
      <c r="O56" s="20"/>
    </row>
    <row r="57" spans="1:15" ht="18.75">
      <c r="A57" s="34"/>
      <c r="B57" s="32" t="s">
        <v>156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0"/>
      <c r="O57" s="20"/>
    </row>
    <row r="58" spans="1:15" ht="15.75">
      <c r="A58" s="70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8.75">
      <c r="A59" s="20" t="s">
        <v>170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18.75">
      <c r="A60" s="20" t="s">
        <v>157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.75">
      <c r="A61" s="20" t="s">
        <v>196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15.75">
      <c r="A62" s="20" t="s">
        <v>198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.75">
      <c r="A63" s="20" t="s">
        <v>197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18.75">
      <c r="A64" s="20" t="s">
        <v>158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.75">
      <c r="A65" s="20" t="s">
        <v>195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15.75">
      <c r="A66" s="20" t="s">
        <v>194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15.75">
      <c r="A67" s="20" t="s">
        <v>171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4" ht="18">
      <c r="A68" s="2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8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8">
      <c r="A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8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8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8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8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sheetProtection/>
  <printOptions/>
  <pageMargins left="0.7" right="0.7" top="0.75" bottom="0.75" header="0.3" footer="0.3"/>
  <pageSetup fitToHeight="1" fitToWidth="1" horizontalDpi="300" verticalDpi="3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0"/>
  <sheetViews>
    <sheetView showGridLines="0" zoomScale="90" zoomScaleNormal="90" zoomScalePageLayoutView="0" workbookViewId="0" topLeftCell="A43">
      <selection activeCell="W41" sqref="W41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3" width="3.7109375" style="0" customWidth="1"/>
    <col min="7" max="7" width="10.7109375" style="0" customWidth="1"/>
    <col min="8" max="8" width="8.140625" style="0" customWidth="1"/>
    <col min="9" max="11" width="12.7109375" style="0" customWidth="1"/>
    <col min="12" max="12" width="2.140625" style="0" customWidth="1"/>
    <col min="13" max="13" width="1.421875" style="0" customWidth="1"/>
    <col min="14" max="16" width="12.28125" style="0" customWidth="1"/>
    <col min="17" max="17" width="1.7109375" style="0" customWidth="1"/>
    <col min="18" max="18" width="1.421875" style="0" customWidth="1"/>
    <col min="19" max="21" width="12.57421875" style="0" customWidth="1"/>
    <col min="22" max="22" width="3.57421875" style="0" customWidth="1"/>
  </cols>
  <sheetData>
    <row r="1" ht="149.25" customHeight="1"/>
    <row r="2" spans="1:22" ht="30">
      <c r="A2" s="3"/>
      <c r="B2" s="2"/>
      <c r="C2" s="2"/>
      <c r="D2" s="2"/>
      <c r="E2" s="2"/>
      <c r="F2" s="2"/>
      <c r="G2" s="2"/>
      <c r="H2" s="2"/>
      <c r="I2" s="2"/>
      <c r="J2" s="2"/>
      <c r="K2" s="66" t="str">
        <f>'Cow-Calf Data Input'!$J$10</f>
        <v>War Eagle Farms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7.75">
      <c r="A3" s="8"/>
      <c r="B3" s="67" t="s">
        <v>151</v>
      </c>
      <c r="C3" s="67"/>
      <c r="D3" s="67"/>
      <c r="E3" s="67"/>
      <c r="F3" s="67"/>
      <c r="G3" s="67"/>
      <c r="H3" s="67"/>
      <c r="I3" s="18"/>
      <c r="J3" s="67"/>
      <c r="K3" s="68" t="str">
        <f>'Cow-Calf Data Input'!$J$12</f>
        <v>Fall</v>
      </c>
      <c r="L3" s="68"/>
      <c r="M3" s="67" t="s">
        <v>152</v>
      </c>
      <c r="N3" s="67"/>
      <c r="O3" s="67"/>
      <c r="P3" s="67"/>
      <c r="Q3" s="67"/>
      <c r="R3" s="69"/>
      <c r="S3" s="18">
        <f>'Cow-Calf Data Input'!$J$11</f>
        <v>2017</v>
      </c>
      <c r="T3" s="67"/>
      <c r="U3" s="5"/>
      <c r="V3" s="7"/>
    </row>
    <row r="4" spans="1:22" ht="18">
      <c r="A4" s="3"/>
      <c r="B4" s="2"/>
      <c r="C4" s="2"/>
      <c r="D4" s="2"/>
      <c r="E4" s="2"/>
      <c r="F4" s="2"/>
      <c r="G4" s="2"/>
      <c r="H4" s="2"/>
      <c r="I4" s="2"/>
      <c r="J4" s="2"/>
      <c r="K4" s="9"/>
      <c r="L4" s="9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ht="15.75">
      <c r="A5" s="19" t="s">
        <v>4</v>
      </c>
      <c r="B5" s="20" t="s">
        <v>5</v>
      </c>
      <c r="C5" s="20"/>
      <c r="D5" s="20"/>
      <c r="E5" s="20"/>
      <c r="F5" s="20"/>
      <c r="G5" s="20"/>
      <c r="H5" s="20"/>
      <c r="I5" s="20"/>
      <c r="J5" s="20"/>
      <c r="K5" s="21"/>
      <c r="L5" s="21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.75">
      <c r="A6" s="19"/>
      <c r="B6" s="19" t="s">
        <v>4</v>
      </c>
      <c r="C6" s="21">
        <v>1</v>
      </c>
      <c r="D6" s="20" t="s">
        <v>8</v>
      </c>
      <c r="E6" s="20"/>
      <c r="F6" s="20"/>
      <c r="G6" s="20"/>
      <c r="H6" s="20"/>
      <c r="I6" s="22">
        <f>'Cow-Calf Data Input'!L28</f>
        <v>0.85</v>
      </c>
      <c r="J6" s="22">
        <f>'Cow-Calf Data Input'!L28</f>
        <v>0.85</v>
      </c>
      <c r="K6" s="22">
        <f>'Cow-Calf Data Input'!L28</f>
        <v>0.85</v>
      </c>
      <c r="L6" s="22"/>
      <c r="M6" s="55"/>
      <c r="N6" s="22">
        <f>'Cow-Calf Data Input'!J28</f>
        <v>0.9</v>
      </c>
      <c r="O6" s="22">
        <f>'Cow-Calf Data Input'!J28</f>
        <v>0.9</v>
      </c>
      <c r="P6" s="22">
        <f>'Cow-Calf Data Input'!J28</f>
        <v>0.9</v>
      </c>
      <c r="Q6" s="22"/>
      <c r="R6" s="55"/>
      <c r="S6" s="22">
        <f>'Cow-Calf Data Input'!N28</f>
        <v>0.9500000000000001</v>
      </c>
      <c r="T6" s="22">
        <f>'Cow-Calf Data Input'!N28</f>
        <v>0.9500000000000001</v>
      </c>
      <c r="U6" s="22">
        <f>'Cow-Calf Data Input'!N28</f>
        <v>0.9500000000000001</v>
      </c>
      <c r="V6" s="20"/>
      <c r="W6" s="20"/>
    </row>
    <row r="7" spans="1:23" ht="15.75">
      <c r="A7" s="19"/>
      <c r="B7" s="19" t="s">
        <v>4</v>
      </c>
      <c r="C7" s="21">
        <f aca="true" t="shared" si="0" ref="C7:C18">C6+1</f>
        <v>2</v>
      </c>
      <c r="D7" s="20" t="s">
        <v>10</v>
      </c>
      <c r="E7" s="20"/>
      <c r="F7" s="20"/>
      <c r="G7" s="20"/>
      <c r="H7" s="20"/>
      <c r="I7" s="23">
        <f>'Cow-Calf Data Input'!$J$31*'Cow-Calf Data Input'!L29+(1-'Cow-Calf Data Input'!$J$31)*'Cow-Calf Data Input'!L30</f>
        <v>500</v>
      </c>
      <c r="J7" s="23">
        <f>'Cow-Calf Data Input'!$J$31*'Cow-Calf Data Input'!J29+(1-'Cow-Calf Data Input'!$J$31)*'Cow-Calf Data Input'!J30</f>
        <v>625</v>
      </c>
      <c r="K7" s="23">
        <f>'Cow-Calf Data Input'!$J$31*'Cow-Calf Data Input'!N29+(1-'Cow-Calf Data Input'!$J$31)*'Cow-Calf Data Input'!N30</f>
        <v>750</v>
      </c>
      <c r="L7" s="23"/>
      <c r="M7" s="55"/>
      <c r="N7" s="23">
        <f>I7</f>
        <v>500</v>
      </c>
      <c r="O7" s="23">
        <f>J7</f>
        <v>625</v>
      </c>
      <c r="P7" s="23">
        <f>K7</f>
        <v>750</v>
      </c>
      <c r="Q7" s="23"/>
      <c r="R7" s="55"/>
      <c r="S7" s="23">
        <f>I7</f>
        <v>500</v>
      </c>
      <c r="T7" s="23">
        <f>J7</f>
        <v>625</v>
      </c>
      <c r="U7" s="23">
        <f>K7</f>
        <v>750</v>
      </c>
      <c r="V7" s="20"/>
      <c r="W7" s="20"/>
    </row>
    <row r="8" spans="1:23" ht="15.75">
      <c r="A8" s="19"/>
      <c r="B8" s="19" t="s">
        <v>4</v>
      </c>
      <c r="C8" s="21">
        <f t="shared" si="0"/>
        <v>3</v>
      </c>
      <c r="D8" s="20" t="s">
        <v>12</v>
      </c>
      <c r="E8" s="20"/>
      <c r="F8" s="20"/>
      <c r="G8" s="20"/>
      <c r="H8" s="20"/>
      <c r="I8" s="24">
        <f>'Cow-Calf Data Input'!$J$13*I6*I7</f>
        <v>21250</v>
      </c>
      <c r="J8" s="24">
        <f>'Cow-Calf Data Input'!$J$13*J6*J7</f>
        <v>26562.5</v>
      </c>
      <c r="K8" s="24">
        <f>'Cow-Calf Data Input'!$J$13*K6*K7</f>
        <v>31875</v>
      </c>
      <c r="L8" s="24"/>
      <c r="M8" s="55"/>
      <c r="N8" s="24">
        <f>'Cow-Calf Data Input'!$J$13*N6*N7</f>
        <v>22500</v>
      </c>
      <c r="O8" s="24">
        <f>'Cow-Calf Data Input'!$J$13*O6*O7</f>
        <v>28125</v>
      </c>
      <c r="P8" s="24">
        <f>'Cow-Calf Data Input'!$J$13*P6*P7</f>
        <v>33750</v>
      </c>
      <c r="Q8" s="24"/>
      <c r="R8" s="56"/>
      <c r="S8" s="24">
        <f>'Cow-Calf Data Input'!$J$13*S6*S7</f>
        <v>23750</v>
      </c>
      <c r="T8" s="24">
        <f>'Cow-Calf Data Input'!$J$13*T6*T7</f>
        <v>29687.5</v>
      </c>
      <c r="U8" s="24">
        <f>'Cow-Calf Data Input'!$J$13*U6*U7</f>
        <v>35625</v>
      </c>
      <c r="V8" s="20"/>
      <c r="W8" s="20"/>
    </row>
    <row r="9" spans="1:23" ht="15.75">
      <c r="A9" s="19"/>
      <c r="B9" s="19" t="s">
        <v>4</v>
      </c>
      <c r="C9" s="21">
        <f t="shared" si="0"/>
        <v>4</v>
      </c>
      <c r="D9" s="20" t="s">
        <v>14</v>
      </c>
      <c r="E9" s="20"/>
      <c r="F9" s="20"/>
      <c r="G9" s="20"/>
      <c r="H9" s="20"/>
      <c r="I9" s="25">
        <f>I8/'Cow-Calf Data Input'!$J$13</f>
        <v>425</v>
      </c>
      <c r="J9" s="25">
        <f>J8/'Cow-Calf Data Input'!$J$13</f>
        <v>531.25</v>
      </c>
      <c r="K9" s="25">
        <f>K8/'Cow-Calf Data Input'!$J$13</f>
        <v>637.5</v>
      </c>
      <c r="L9" s="25"/>
      <c r="M9" s="55"/>
      <c r="N9" s="25">
        <f>N8/'Cow-Calf Data Input'!$J$13</f>
        <v>450</v>
      </c>
      <c r="O9" s="25">
        <f>O8/'Cow-Calf Data Input'!$J$13</f>
        <v>562.5</v>
      </c>
      <c r="P9" s="25">
        <f>P8/'Cow-Calf Data Input'!$J$13</f>
        <v>675</v>
      </c>
      <c r="Q9" s="25"/>
      <c r="R9" s="57"/>
      <c r="S9" s="25">
        <f>S8/'Cow-Calf Data Input'!$J$13</f>
        <v>475</v>
      </c>
      <c r="T9" s="25">
        <f>T8/'Cow-Calf Data Input'!$J$13</f>
        <v>593.75</v>
      </c>
      <c r="U9" s="25">
        <f>U8/'Cow-Calf Data Input'!$J$13</f>
        <v>712.5</v>
      </c>
      <c r="V9" s="20"/>
      <c r="W9" s="20"/>
    </row>
    <row r="10" spans="1:23" ht="15.75">
      <c r="A10" s="19"/>
      <c r="B10" s="19" t="s">
        <v>4</v>
      </c>
      <c r="C10" s="21">
        <f t="shared" si="0"/>
        <v>5</v>
      </c>
      <c r="D10" s="20" t="s">
        <v>16</v>
      </c>
      <c r="E10" s="20"/>
      <c r="F10" s="20"/>
      <c r="G10" s="20"/>
      <c r="H10" s="20"/>
      <c r="I10" s="26">
        <f>'Cow-Calf Data Input'!$J$31*'Cow-Calf Data Input'!I38+(1-'Cow-Calf Data Input'!$J$31)*'Cow-Calf Data Input'!I40</f>
        <v>1.5</v>
      </c>
      <c r="J10" s="26">
        <f>'Cow-Calf Data Input'!$J$31*'Cow-Calf Data Input'!J38+(1-'Cow-Calf Data Input'!$J$31)*'Cow-Calf Data Input'!J40</f>
        <v>1.4</v>
      </c>
      <c r="K10" s="26">
        <f>'Cow-Calf Data Input'!$J$31*'Cow-Calf Data Input'!K38+(1-'Cow-Calf Data Input'!$J$31)*'Cow-Calf Data Input'!K40</f>
        <v>1.3</v>
      </c>
      <c r="L10" s="26"/>
      <c r="M10" s="55"/>
      <c r="N10" s="26">
        <f>I10</f>
        <v>1.5</v>
      </c>
      <c r="O10" s="26">
        <f>J10</f>
        <v>1.4</v>
      </c>
      <c r="P10" s="26">
        <f>K10</f>
        <v>1.3</v>
      </c>
      <c r="Q10" s="26"/>
      <c r="R10" s="58"/>
      <c r="S10" s="26">
        <f>I10</f>
        <v>1.5</v>
      </c>
      <c r="T10" s="26">
        <f>J10</f>
        <v>1.4</v>
      </c>
      <c r="U10" s="26">
        <f>K10</f>
        <v>1.3</v>
      </c>
      <c r="V10" s="20"/>
      <c r="W10" s="20"/>
    </row>
    <row r="11" spans="1:23" ht="15.75">
      <c r="A11" s="19"/>
      <c r="B11" s="19" t="s">
        <v>4</v>
      </c>
      <c r="C11" s="21">
        <f t="shared" si="0"/>
        <v>6</v>
      </c>
      <c r="D11" s="20" t="s">
        <v>18</v>
      </c>
      <c r="E11" s="20"/>
      <c r="F11" s="20"/>
      <c r="G11" s="20"/>
      <c r="H11" s="20"/>
      <c r="I11" s="27">
        <f>'Cow-Calf Data Input'!$J$33*'Cow-Calf Data Input'!$J$32*'Cow-Calf Data Input'!$J$13</f>
        <v>7700.000000000002</v>
      </c>
      <c r="J11" s="24">
        <f>'Cow-Calf Data Input'!$J$33*'Cow-Calf Data Input'!$J$32*'Cow-Calf Data Input'!$J$13</f>
        <v>7700.000000000002</v>
      </c>
      <c r="K11" s="24">
        <f>'Cow-Calf Data Input'!$J$33*'Cow-Calf Data Input'!$J$32*'Cow-Calf Data Input'!$J$13</f>
        <v>7700.000000000002</v>
      </c>
      <c r="L11" s="24"/>
      <c r="M11" s="55"/>
      <c r="N11" s="24">
        <f>'Cow-Calf Data Input'!$J$33*'Cow-Calf Data Input'!$J$32*'Cow-Calf Data Input'!$J$13</f>
        <v>7700.000000000002</v>
      </c>
      <c r="O11" s="24">
        <f>'Cow-Calf Data Input'!$J$33*'Cow-Calf Data Input'!$J$32*'Cow-Calf Data Input'!$J$13</f>
        <v>7700.000000000002</v>
      </c>
      <c r="P11" s="24">
        <f>'Cow-Calf Data Input'!$J$33*'Cow-Calf Data Input'!$J$32*'Cow-Calf Data Input'!$J$13</f>
        <v>7700.000000000002</v>
      </c>
      <c r="Q11" s="24"/>
      <c r="R11" s="56"/>
      <c r="S11" s="24">
        <f>'Cow-Calf Data Input'!$J$33*'Cow-Calf Data Input'!$J$32*'Cow-Calf Data Input'!$J$13</f>
        <v>7700.000000000002</v>
      </c>
      <c r="T11" s="24">
        <f>'Cow-Calf Data Input'!$J$33*'Cow-Calf Data Input'!$J$32*'Cow-Calf Data Input'!$J$13</f>
        <v>7700.000000000002</v>
      </c>
      <c r="U11" s="24">
        <f>'Cow-Calf Data Input'!$J$33*'Cow-Calf Data Input'!$J$32*'Cow-Calf Data Input'!$J$13</f>
        <v>7700.000000000002</v>
      </c>
      <c r="V11" s="20"/>
      <c r="W11" s="20"/>
    </row>
    <row r="12" spans="1:23" ht="15.75">
      <c r="A12" s="19"/>
      <c r="B12" s="19" t="s">
        <v>4</v>
      </c>
      <c r="C12" s="21">
        <f t="shared" si="0"/>
        <v>7</v>
      </c>
      <c r="D12" s="20" t="s">
        <v>21</v>
      </c>
      <c r="E12" s="20"/>
      <c r="F12" s="20"/>
      <c r="G12" s="20"/>
      <c r="H12" s="22"/>
      <c r="I12" s="28">
        <f>'Cow-Calf Data Input'!$J$32</f>
        <v>1100</v>
      </c>
      <c r="J12" s="28">
        <f>'Cow-Calf Data Input'!$J$32</f>
        <v>1100</v>
      </c>
      <c r="K12" s="28">
        <f>'Cow-Calf Data Input'!$J$32</f>
        <v>1100</v>
      </c>
      <c r="L12" s="28"/>
      <c r="M12" s="55"/>
      <c r="N12" s="28">
        <f>'Cow-Calf Data Input'!$J$32</f>
        <v>1100</v>
      </c>
      <c r="O12" s="28">
        <f>'Cow-Calf Data Input'!$J$32</f>
        <v>1100</v>
      </c>
      <c r="P12" s="28">
        <f>'Cow-Calf Data Input'!$J$32</f>
        <v>1100</v>
      </c>
      <c r="Q12" s="28"/>
      <c r="R12" s="59"/>
      <c r="S12" s="28">
        <f>'Cow-Calf Data Input'!$J$32</f>
        <v>1100</v>
      </c>
      <c r="T12" s="28">
        <f>'Cow-Calf Data Input'!$J$32</f>
        <v>1100</v>
      </c>
      <c r="U12" s="28">
        <f>'Cow-Calf Data Input'!$J$32</f>
        <v>1100</v>
      </c>
      <c r="V12" s="20"/>
      <c r="W12" s="20"/>
    </row>
    <row r="13" spans="1:23" ht="15.75">
      <c r="A13" s="19"/>
      <c r="B13" s="19" t="s">
        <v>4</v>
      </c>
      <c r="C13" s="21">
        <f t="shared" si="0"/>
        <v>8</v>
      </c>
      <c r="D13" s="20" t="s">
        <v>23</v>
      </c>
      <c r="E13" s="20"/>
      <c r="F13" s="20"/>
      <c r="G13" s="20"/>
      <c r="H13" s="20"/>
      <c r="I13" s="20">
        <f>I11/'Cow-Calf Data Input'!$J$13</f>
        <v>154.00000000000003</v>
      </c>
      <c r="J13" s="20">
        <f>J11/'Cow-Calf Data Input'!$J$13</f>
        <v>154.00000000000003</v>
      </c>
      <c r="K13" s="20">
        <f>K11/'Cow-Calf Data Input'!$J$13</f>
        <v>154.00000000000003</v>
      </c>
      <c r="L13" s="20"/>
      <c r="M13" s="55"/>
      <c r="N13" s="20">
        <f>N11/'Cow-Calf Data Input'!$J$13</f>
        <v>154.00000000000003</v>
      </c>
      <c r="O13" s="20">
        <f>O11/'Cow-Calf Data Input'!$J$13</f>
        <v>154.00000000000003</v>
      </c>
      <c r="P13" s="20">
        <f>P11/'Cow-Calf Data Input'!$J$13</f>
        <v>154.00000000000003</v>
      </c>
      <c r="Q13" s="20"/>
      <c r="R13" s="55"/>
      <c r="S13" s="20">
        <f>S11/'Cow-Calf Data Input'!$J$13</f>
        <v>154.00000000000003</v>
      </c>
      <c r="T13" s="20">
        <f>T11/'Cow-Calf Data Input'!$J$13</f>
        <v>154.00000000000003</v>
      </c>
      <c r="U13" s="20">
        <f>U11/'Cow-Calf Data Input'!$J$13</f>
        <v>154.00000000000003</v>
      </c>
      <c r="V13" s="20"/>
      <c r="W13" s="20"/>
    </row>
    <row r="14" spans="1:23" ht="15.75">
      <c r="A14" s="19"/>
      <c r="B14" s="19" t="s">
        <v>4</v>
      </c>
      <c r="C14" s="21">
        <f t="shared" si="0"/>
        <v>9</v>
      </c>
      <c r="D14" s="20" t="s">
        <v>26</v>
      </c>
      <c r="E14" s="20"/>
      <c r="F14" s="20"/>
      <c r="G14" s="20"/>
      <c r="H14" s="29"/>
      <c r="I14" s="26">
        <f>'Cow-Calf Data Input'!$J$42</f>
        <v>0.65</v>
      </c>
      <c r="J14" s="26">
        <f>'Cow-Calf Data Input'!$J$42</f>
        <v>0.65</v>
      </c>
      <c r="K14" s="26">
        <f>'Cow-Calf Data Input'!$J$42</f>
        <v>0.65</v>
      </c>
      <c r="L14" s="26"/>
      <c r="M14" s="55"/>
      <c r="N14" s="26">
        <f>'Cow-Calf Data Input'!$J$42</f>
        <v>0.65</v>
      </c>
      <c r="O14" s="26">
        <f>'Cow-Calf Data Input'!$J$42</f>
        <v>0.65</v>
      </c>
      <c r="P14" s="26">
        <f>'Cow-Calf Data Input'!$J$42</f>
        <v>0.65</v>
      </c>
      <c r="Q14" s="26"/>
      <c r="R14" s="58"/>
      <c r="S14" s="26">
        <f>'Cow-Calf Data Input'!$J$42</f>
        <v>0.65</v>
      </c>
      <c r="T14" s="26">
        <f>'Cow-Calf Data Input'!$J$42</f>
        <v>0.65</v>
      </c>
      <c r="U14" s="26">
        <f>'Cow-Calf Data Input'!$J$42</f>
        <v>0.65</v>
      </c>
      <c r="V14" s="20"/>
      <c r="W14" s="20"/>
    </row>
    <row r="15" spans="1:23" ht="15.75">
      <c r="A15" s="19"/>
      <c r="B15" s="19" t="s">
        <v>4</v>
      </c>
      <c r="C15" s="21">
        <f t="shared" si="0"/>
        <v>10</v>
      </c>
      <c r="D15" s="30" t="s">
        <v>27</v>
      </c>
      <c r="E15" s="20"/>
      <c r="F15" s="20"/>
      <c r="G15" s="20"/>
      <c r="H15" s="20"/>
      <c r="I15" s="31">
        <f>I8*I10+I11*I14</f>
        <v>36880</v>
      </c>
      <c r="J15" s="31">
        <f aca="true" t="shared" si="1" ref="J15:U15">J8*J10+J11*J14</f>
        <v>42192.5</v>
      </c>
      <c r="K15" s="31">
        <f t="shared" si="1"/>
        <v>46442.5</v>
      </c>
      <c r="L15" s="31"/>
      <c r="M15" s="55"/>
      <c r="N15" s="31">
        <f t="shared" si="1"/>
        <v>38755</v>
      </c>
      <c r="O15" s="31">
        <f t="shared" si="1"/>
        <v>44380</v>
      </c>
      <c r="P15" s="31">
        <f t="shared" si="1"/>
        <v>48880</v>
      </c>
      <c r="Q15" s="31"/>
      <c r="R15" s="60"/>
      <c r="S15" s="31">
        <f t="shared" si="1"/>
        <v>40630</v>
      </c>
      <c r="T15" s="31">
        <f t="shared" si="1"/>
        <v>46567.5</v>
      </c>
      <c r="U15" s="31">
        <f t="shared" si="1"/>
        <v>51317.5</v>
      </c>
      <c r="V15" s="20"/>
      <c r="W15" s="20"/>
    </row>
    <row r="16" spans="1:23" ht="15.75">
      <c r="A16" s="19"/>
      <c r="B16" s="19" t="s">
        <v>4</v>
      </c>
      <c r="C16" s="21">
        <f t="shared" si="0"/>
        <v>11</v>
      </c>
      <c r="D16" s="20" t="s">
        <v>29</v>
      </c>
      <c r="E16" s="20"/>
      <c r="F16" s="20"/>
      <c r="G16" s="20"/>
      <c r="H16" s="20"/>
      <c r="I16" s="26">
        <f>I9*I10</f>
        <v>637.5</v>
      </c>
      <c r="J16" s="26">
        <f>J9*J10</f>
        <v>743.75</v>
      </c>
      <c r="K16" s="26">
        <f>K9*K10</f>
        <v>828.75</v>
      </c>
      <c r="L16" s="26"/>
      <c r="M16" s="55"/>
      <c r="N16" s="26">
        <f>N9*N10</f>
        <v>675</v>
      </c>
      <c r="O16" s="26">
        <f>O9*O10</f>
        <v>787.5</v>
      </c>
      <c r="P16" s="26">
        <f>P9*P10</f>
        <v>877.5</v>
      </c>
      <c r="Q16" s="26"/>
      <c r="R16" s="58"/>
      <c r="S16" s="26">
        <f>S9*S10</f>
        <v>712.5</v>
      </c>
      <c r="T16" s="26">
        <f>T9*T10</f>
        <v>831.25</v>
      </c>
      <c r="U16" s="26">
        <f>U9*U10</f>
        <v>926.25</v>
      </c>
      <c r="V16" s="20"/>
      <c r="W16" s="20"/>
    </row>
    <row r="17" spans="1:23" ht="15.75">
      <c r="A17" s="19"/>
      <c r="B17" s="19" t="s">
        <v>4</v>
      </c>
      <c r="C17" s="21">
        <f t="shared" si="0"/>
        <v>12</v>
      </c>
      <c r="D17" s="20" t="s">
        <v>31</v>
      </c>
      <c r="E17" s="20"/>
      <c r="F17" s="20"/>
      <c r="G17" s="20"/>
      <c r="H17" s="26"/>
      <c r="I17" s="26">
        <f>I13*I14</f>
        <v>100.10000000000002</v>
      </c>
      <c r="J17" s="26">
        <f aca="true" t="shared" si="2" ref="J17:U17">J13*J14</f>
        <v>100.10000000000002</v>
      </c>
      <c r="K17" s="26">
        <f t="shared" si="2"/>
        <v>100.10000000000002</v>
      </c>
      <c r="L17" s="26"/>
      <c r="M17" s="55"/>
      <c r="N17" s="26">
        <f t="shared" si="2"/>
        <v>100.10000000000002</v>
      </c>
      <c r="O17" s="26">
        <f t="shared" si="2"/>
        <v>100.10000000000002</v>
      </c>
      <c r="P17" s="26">
        <f t="shared" si="2"/>
        <v>100.10000000000002</v>
      </c>
      <c r="Q17" s="26"/>
      <c r="R17" s="58"/>
      <c r="S17" s="26">
        <f t="shared" si="2"/>
        <v>100.10000000000002</v>
      </c>
      <c r="T17" s="26">
        <f t="shared" si="2"/>
        <v>100.10000000000002</v>
      </c>
      <c r="U17" s="26">
        <f t="shared" si="2"/>
        <v>100.10000000000002</v>
      </c>
      <c r="V17" s="20"/>
      <c r="W17" s="20"/>
    </row>
    <row r="18" spans="1:23" ht="15.75">
      <c r="A18" s="19"/>
      <c r="B18" s="19" t="s">
        <v>4</v>
      </c>
      <c r="C18" s="19">
        <f t="shared" si="0"/>
        <v>13</v>
      </c>
      <c r="D18" s="30" t="s">
        <v>32</v>
      </c>
      <c r="E18" s="20"/>
      <c r="F18" s="20"/>
      <c r="G18" s="20"/>
      <c r="H18" s="20"/>
      <c r="I18" s="26">
        <f>I16+I17</f>
        <v>737.6</v>
      </c>
      <c r="J18" s="26">
        <f>J16+J17</f>
        <v>843.85</v>
      </c>
      <c r="K18" s="26">
        <f>K16+K17</f>
        <v>928.85</v>
      </c>
      <c r="L18" s="26"/>
      <c r="M18" s="55"/>
      <c r="N18" s="26">
        <f>N16+N17</f>
        <v>775.1</v>
      </c>
      <c r="O18" s="26">
        <f>O16+O17</f>
        <v>887.6</v>
      </c>
      <c r="P18" s="26">
        <f>P16+P17</f>
        <v>977.6</v>
      </c>
      <c r="Q18" s="26"/>
      <c r="R18" s="58"/>
      <c r="S18" s="26">
        <f>S16+S17</f>
        <v>812.6</v>
      </c>
      <c r="T18" s="26">
        <f>T16+T17</f>
        <v>931.35</v>
      </c>
      <c r="U18" s="26">
        <f>U16+U17</f>
        <v>1026.35</v>
      </c>
      <c r="V18" s="20"/>
      <c r="W18" s="20"/>
    </row>
    <row r="19" spans="1:23" ht="15.75">
      <c r="A19" s="19"/>
      <c r="B19" s="20"/>
      <c r="C19" s="20"/>
      <c r="D19" s="20"/>
      <c r="E19" s="20"/>
      <c r="F19" s="20"/>
      <c r="G19" s="20"/>
      <c r="H19" s="20"/>
      <c r="I19" s="26"/>
      <c r="J19" s="26"/>
      <c r="K19" s="20"/>
      <c r="L19" s="20"/>
      <c r="M19" s="55"/>
      <c r="N19" s="20"/>
      <c r="O19" s="20"/>
      <c r="P19" s="20"/>
      <c r="Q19" s="20"/>
      <c r="R19" s="55"/>
      <c r="S19" s="20"/>
      <c r="T19" s="20"/>
      <c r="U19" s="20"/>
      <c r="V19" s="20"/>
      <c r="W19" s="20"/>
    </row>
    <row r="20" spans="1:23" ht="15.75">
      <c r="A20" s="19" t="s">
        <v>33</v>
      </c>
      <c r="B20" s="20" t="s">
        <v>38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55"/>
      <c r="N20" s="20"/>
      <c r="O20" s="20"/>
      <c r="P20" s="20"/>
      <c r="Q20" s="20"/>
      <c r="R20" s="55"/>
      <c r="S20" s="20"/>
      <c r="T20" s="20"/>
      <c r="U20" s="20"/>
      <c r="V20" s="20"/>
      <c r="W20" s="20"/>
    </row>
    <row r="21" spans="1:23" ht="15.75">
      <c r="A21" s="19"/>
      <c r="B21" s="19" t="s">
        <v>33</v>
      </c>
      <c r="C21" s="21">
        <v>1</v>
      </c>
      <c r="D21" s="20" t="s">
        <v>39</v>
      </c>
      <c r="E21" s="20"/>
      <c r="F21" s="20"/>
      <c r="G21" s="20"/>
      <c r="H21" s="20"/>
      <c r="I21" s="26">
        <f>'Cow-Calf Data Input'!$P$55</f>
        <v>294.967</v>
      </c>
      <c r="J21" s="26">
        <f>'Cow-Calf Data Input'!$P$55</f>
        <v>294.967</v>
      </c>
      <c r="K21" s="26">
        <f>'Cow-Calf Data Input'!$P$55</f>
        <v>294.967</v>
      </c>
      <c r="L21" s="26"/>
      <c r="M21" s="55"/>
      <c r="N21" s="26">
        <f>'Cow-Calf Data Input'!$P$55</f>
        <v>294.967</v>
      </c>
      <c r="O21" s="26">
        <f>'Cow-Calf Data Input'!$P$55</f>
        <v>294.967</v>
      </c>
      <c r="P21" s="26">
        <f>'Cow-Calf Data Input'!$P$55</f>
        <v>294.967</v>
      </c>
      <c r="Q21" s="26"/>
      <c r="R21" s="58"/>
      <c r="S21" s="26">
        <f>'Cow-Calf Data Input'!$P$55</f>
        <v>294.967</v>
      </c>
      <c r="T21" s="26">
        <f>'Cow-Calf Data Input'!$P$55</f>
        <v>294.967</v>
      </c>
      <c r="U21" s="26">
        <f>'Cow-Calf Data Input'!$P$55</f>
        <v>294.967</v>
      </c>
      <c r="V21" s="20"/>
      <c r="W21" s="20"/>
    </row>
    <row r="22" spans="1:23" ht="15.75">
      <c r="A22" s="19"/>
      <c r="B22" s="19" t="s">
        <v>33</v>
      </c>
      <c r="C22" s="21">
        <f aca="true" t="shared" si="3" ref="C22:C40">C21+1</f>
        <v>2</v>
      </c>
      <c r="D22" s="20" t="s">
        <v>41</v>
      </c>
      <c r="E22" s="20"/>
      <c r="F22" s="20"/>
      <c r="G22" s="20"/>
      <c r="H22" s="20"/>
      <c r="I22" s="26">
        <f>'Cow-Calf Data Input'!$P$71</f>
        <v>109.955</v>
      </c>
      <c r="J22" s="26">
        <f>'Cow-Calf Data Input'!$P$71</f>
        <v>109.955</v>
      </c>
      <c r="K22" s="26">
        <f>'Cow-Calf Data Input'!$P$71</f>
        <v>109.955</v>
      </c>
      <c r="L22" s="26"/>
      <c r="M22" s="55"/>
      <c r="N22" s="26">
        <f>'Cow-Calf Data Input'!$P$71</f>
        <v>109.955</v>
      </c>
      <c r="O22" s="26">
        <f>'Cow-Calf Data Input'!$P$71</f>
        <v>109.955</v>
      </c>
      <c r="P22" s="26">
        <f>'Cow-Calf Data Input'!$P$71</f>
        <v>109.955</v>
      </c>
      <c r="Q22" s="26"/>
      <c r="R22" s="58"/>
      <c r="S22" s="26">
        <f>'Cow-Calf Data Input'!$P$71</f>
        <v>109.955</v>
      </c>
      <c r="T22" s="26">
        <f>'Cow-Calf Data Input'!$P$71</f>
        <v>109.955</v>
      </c>
      <c r="U22" s="26">
        <f>'Cow-Calf Data Input'!$P$71</f>
        <v>109.955</v>
      </c>
      <c r="V22" s="20"/>
      <c r="W22" s="20"/>
    </row>
    <row r="23" spans="1:23" ht="15.75">
      <c r="A23" s="19"/>
      <c r="B23" s="19" t="s">
        <v>33</v>
      </c>
      <c r="C23" s="21">
        <f t="shared" si="3"/>
        <v>3</v>
      </c>
      <c r="D23" s="20" t="s">
        <v>43</v>
      </c>
      <c r="E23" s="20"/>
      <c r="F23" s="20"/>
      <c r="G23" s="20"/>
      <c r="H23" s="20"/>
      <c r="I23" s="26">
        <f>'Cow-Calf Data Input'!$P$84</f>
        <v>97.1</v>
      </c>
      <c r="J23" s="26">
        <f>'Cow-Calf Data Input'!$P$84</f>
        <v>97.1</v>
      </c>
      <c r="K23" s="26">
        <f>'Cow-Calf Data Input'!$P$84</f>
        <v>97.1</v>
      </c>
      <c r="L23" s="26"/>
      <c r="M23" s="55"/>
      <c r="N23" s="26">
        <f>'Cow-Calf Data Input'!$P$84</f>
        <v>97.1</v>
      </c>
      <c r="O23" s="26">
        <f>'Cow-Calf Data Input'!$P$84</f>
        <v>97.1</v>
      </c>
      <c r="P23" s="26">
        <f>'Cow-Calf Data Input'!$P$84</f>
        <v>97.1</v>
      </c>
      <c r="Q23" s="26"/>
      <c r="R23" s="58"/>
      <c r="S23" s="26">
        <f>'Cow-Calf Data Input'!$P$84</f>
        <v>97.1</v>
      </c>
      <c r="T23" s="26">
        <f>'Cow-Calf Data Input'!$P$84</f>
        <v>97.1</v>
      </c>
      <c r="U23" s="26">
        <f>'Cow-Calf Data Input'!$P$84</f>
        <v>97.1</v>
      </c>
      <c r="V23" s="20"/>
      <c r="W23" s="20"/>
    </row>
    <row r="24" spans="1:23" ht="15.75">
      <c r="A24" s="19"/>
      <c r="B24" s="19" t="s">
        <v>33</v>
      </c>
      <c r="C24" s="21">
        <f t="shared" si="3"/>
        <v>4</v>
      </c>
      <c r="D24" s="20" t="s">
        <v>45</v>
      </c>
      <c r="E24" s="20"/>
      <c r="F24" s="20"/>
      <c r="G24" s="20"/>
      <c r="H24" s="20"/>
      <c r="I24" s="26">
        <f>'Cow-Calf Data Input'!$P$119</f>
        <v>37.6864</v>
      </c>
      <c r="J24" s="26">
        <f>'Cow-Calf Data Input'!$P$119</f>
        <v>37.6864</v>
      </c>
      <c r="K24" s="26">
        <f>'Cow-Calf Data Input'!$P$119</f>
        <v>37.6864</v>
      </c>
      <c r="L24" s="26"/>
      <c r="M24" s="55"/>
      <c r="N24" s="26">
        <f>'Cow-Calf Data Input'!$P$119</f>
        <v>37.6864</v>
      </c>
      <c r="O24" s="26">
        <f>'Cow-Calf Data Input'!$P$119</f>
        <v>37.6864</v>
      </c>
      <c r="P24" s="26">
        <f>'Cow-Calf Data Input'!$P$119</f>
        <v>37.6864</v>
      </c>
      <c r="Q24" s="26"/>
      <c r="R24" s="58"/>
      <c r="S24" s="26">
        <f>'Cow-Calf Data Input'!$P$119</f>
        <v>37.6864</v>
      </c>
      <c r="T24" s="26">
        <f>'Cow-Calf Data Input'!$P$119</f>
        <v>37.6864</v>
      </c>
      <c r="U24" s="26">
        <f>'Cow-Calf Data Input'!$P$119</f>
        <v>37.6864</v>
      </c>
      <c r="V24" s="20"/>
      <c r="W24" s="20"/>
    </row>
    <row r="25" spans="1:23" ht="15.75">
      <c r="A25" s="19"/>
      <c r="B25" s="19" t="s">
        <v>33</v>
      </c>
      <c r="C25" s="21">
        <f t="shared" si="3"/>
        <v>5</v>
      </c>
      <c r="D25" s="20" t="s">
        <v>46</v>
      </c>
      <c r="E25" s="20"/>
      <c r="F25" s="20"/>
      <c r="G25" s="20"/>
      <c r="H25" s="20"/>
      <c r="I25" s="26">
        <f>'Cow-Calf Data Input'!$P$129-'Cow-Calf Data Input'!$P$125</f>
        <v>26.25</v>
      </c>
      <c r="J25" s="26">
        <f>'Cow-Calf Data Input'!$P$129-'Cow-Calf Data Input'!$P$125</f>
        <v>26.25</v>
      </c>
      <c r="K25" s="26">
        <f>'Cow-Calf Data Input'!$P$129-'Cow-Calf Data Input'!$P$125</f>
        <v>26.25</v>
      </c>
      <c r="L25" s="26"/>
      <c r="M25" s="55"/>
      <c r="N25" s="26">
        <f>'Cow-Calf Data Input'!$P$129-'Cow-Calf Data Input'!$P$125</f>
        <v>26.25</v>
      </c>
      <c r="O25" s="26">
        <f>'Cow-Calf Data Input'!$P$129-'Cow-Calf Data Input'!$P$125</f>
        <v>26.25</v>
      </c>
      <c r="P25" s="26">
        <f>'Cow-Calf Data Input'!$P$129-'Cow-Calf Data Input'!$P$125</f>
        <v>26.25</v>
      </c>
      <c r="Q25" s="26"/>
      <c r="R25" s="58"/>
      <c r="S25" s="26">
        <f>'Cow-Calf Data Input'!$P$129-'Cow-Calf Data Input'!$P$125</f>
        <v>26.25</v>
      </c>
      <c r="T25" s="26">
        <f>'Cow-Calf Data Input'!$P$129-'Cow-Calf Data Input'!$P$125</f>
        <v>26.25</v>
      </c>
      <c r="U25" s="26">
        <f>'Cow-Calf Data Input'!$P$129-'Cow-Calf Data Input'!$P$125</f>
        <v>26.25</v>
      </c>
      <c r="V25" s="20"/>
      <c r="W25" s="20"/>
    </row>
    <row r="26" spans="1:23" ht="15.75">
      <c r="A26" s="19"/>
      <c r="B26" s="19" t="s">
        <v>33</v>
      </c>
      <c r="C26" s="21">
        <f t="shared" si="3"/>
        <v>6</v>
      </c>
      <c r="D26" s="20" t="s">
        <v>48</v>
      </c>
      <c r="E26" s="20"/>
      <c r="F26" s="20"/>
      <c r="G26" s="20"/>
      <c r="H26" s="20"/>
      <c r="I26" s="26">
        <f>'Cow-Calf Data Input'!$P$125</f>
        <v>15</v>
      </c>
      <c r="J26" s="26">
        <f>'Cow-Calf Data Input'!$P$125</f>
        <v>15</v>
      </c>
      <c r="K26" s="26">
        <f>'Cow-Calf Data Input'!$P$125</f>
        <v>15</v>
      </c>
      <c r="L26" s="26"/>
      <c r="M26" s="55"/>
      <c r="N26" s="26">
        <f>'Cow-Calf Data Input'!$P$125</f>
        <v>15</v>
      </c>
      <c r="O26" s="26">
        <f>'Cow-Calf Data Input'!$P$125</f>
        <v>15</v>
      </c>
      <c r="P26" s="26">
        <f>'Cow-Calf Data Input'!$P$125</f>
        <v>15</v>
      </c>
      <c r="Q26" s="26"/>
      <c r="R26" s="58"/>
      <c r="S26" s="26">
        <f>'Cow-Calf Data Input'!$P$125</f>
        <v>15</v>
      </c>
      <c r="T26" s="26">
        <f>'Cow-Calf Data Input'!$P$125</f>
        <v>15</v>
      </c>
      <c r="U26" s="26">
        <f>'Cow-Calf Data Input'!$P$125</f>
        <v>15</v>
      </c>
      <c r="V26" s="20"/>
      <c r="W26" s="20"/>
    </row>
    <row r="27" spans="1:23" ht="15.75">
      <c r="A27" s="19"/>
      <c r="B27" s="19" t="s">
        <v>33</v>
      </c>
      <c r="C27" s="21">
        <f t="shared" si="3"/>
        <v>7</v>
      </c>
      <c r="D27" s="20" t="s">
        <v>49</v>
      </c>
      <c r="E27" s="20"/>
      <c r="F27" s="20"/>
      <c r="G27" s="20"/>
      <c r="H27" s="20"/>
      <c r="I27" s="26">
        <f>'Cow-Calf Data Input'!$P$133</f>
        <v>12</v>
      </c>
      <c r="J27" s="26">
        <f>'Cow-Calf Data Input'!$P$133</f>
        <v>12</v>
      </c>
      <c r="K27" s="26">
        <f>'Cow-Calf Data Input'!$P$133</f>
        <v>12</v>
      </c>
      <c r="L27" s="26"/>
      <c r="M27" s="55"/>
      <c r="N27" s="26">
        <f>'Cow-Calf Data Input'!$P$133</f>
        <v>12</v>
      </c>
      <c r="O27" s="26">
        <f>'Cow-Calf Data Input'!$P$133</f>
        <v>12</v>
      </c>
      <c r="P27" s="26">
        <f>'Cow-Calf Data Input'!$P$133</f>
        <v>12</v>
      </c>
      <c r="Q27" s="26"/>
      <c r="R27" s="58"/>
      <c r="S27" s="26">
        <f>'Cow-Calf Data Input'!$P$133</f>
        <v>12</v>
      </c>
      <c r="T27" s="26">
        <f>'Cow-Calf Data Input'!$P$133</f>
        <v>12</v>
      </c>
      <c r="U27" s="26">
        <f>'Cow-Calf Data Input'!$P$133</f>
        <v>12</v>
      </c>
      <c r="V27" s="20"/>
      <c r="W27" s="20"/>
    </row>
    <row r="28" spans="1:23" ht="15.75">
      <c r="A28" s="19"/>
      <c r="B28" s="19" t="s">
        <v>33</v>
      </c>
      <c r="C28" s="21">
        <f t="shared" si="3"/>
        <v>8</v>
      </c>
      <c r="D28" s="20" t="s">
        <v>50</v>
      </c>
      <c r="E28" s="20"/>
      <c r="F28" s="20"/>
      <c r="G28" s="20"/>
      <c r="H28" s="20"/>
      <c r="I28" s="26">
        <f>'Cow-Calf Data Input'!$P$134</f>
        <v>37.5</v>
      </c>
      <c r="J28" s="26">
        <f>'Cow-Calf Data Input'!$P$134</f>
        <v>37.5</v>
      </c>
      <c r="K28" s="26">
        <f>'Cow-Calf Data Input'!$P$134</f>
        <v>37.5</v>
      </c>
      <c r="L28" s="26"/>
      <c r="M28" s="55"/>
      <c r="N28" s="26">
        <f>'Cow-Calf Data Input'!$P$134</f>
        <v>37.5</v>
      </c>
      <c r="O28" s="26">
        <f>'Cow-Calf Data Input'!$P$134</f>
        <v>37.5</v>
      </c>
      <c r="P28" s="26">
        <f>'Cow-Calf Data Input'!$P$134</f>
        <v>37.5</v>
      </c>
      <c r="Q28" s="26"/>
      <c r="R28" s="58"/>
      <c r="S28" s="26">
        <f>'Cow-Calf Data Input'!$P$134</f>
        <v>37.5</v>
      </c>
      <c r="T28" s="26">
        <f>'Cow-Calf Data Input'!$P$134</f>
        <v>37.5</v>
      </c>
      <c r="U28" s="26">
        <f>'Cow-Calf Data Input'!$P$134</f>
        <v>37.5</v>
      </c>
      <c r="V28" s="20"/>
      <c r="W28" s="20"/>
    </row>
    <row r="29" spans="1:23" ht="15.75">
      <c r="A29" s="19"/>
      <c r="B29" s="19" t="s">
        <v>33</v>
      </c>
      <c r="C29" s="21">
        <f t="shared" si="3"/>
        <v>9</v>
      </c>
      <c r="D29" s="20" t="s">
        <v>52</v>
      </c>
      <c r="E29" s="20"/>
      <c r="F29" s="20"/>
      <c r="G29" s="20"/>
      <c r="H29" s="20"/>
      <c r="I29" s="26">
        <f>'Cow-Calf Data Input'!$P$135</f>
        <v>9.6</v>
      </c>
      <c r="J29" s="26">
        <f>'Cow-Calf Data Input'!$P$135</f>
        <v>9.6</v>
      </c>
      <c r="K29" s="26">
        <f>'Cow-Calf Data Input'!$P$135</f>
        <v>9.6</v>
      </c>
      <c r="L29" s="26"/>
      <c r="M29" s="55"/>
      <c r="N29" s="26">
        <f>'Cow-Calf Data Input'!$P$135</f>
        <v>9.6</v>
      </c>
      <c r="O29" s="26">
        <f>'Cow-Calf Data Input'!$P$135</f>
        <v>9.6</v>
      </c>
      <c r="P29" s="26">
        <f>'Cow-Calf Data Input'!$P$135</f>
        <v>9.6</v>
      </c>
      <c r="Q29" s="26"/>
      <c r="R29" s="58"/>
      <c r="S29" s="26">
        <f>'Cow-Calf Data Input'!$P$135</f>
        <v>9.6</v>
      </c>
      <c r="T29" s="26">
        <f>'Cow-Calf Data Input'!$P$135</f>
        <v>9.6</v>
      </c>
      <c r="U29" s="26">
        <f>'Cow-Calf Data Input'!$P$135</f>
        <v>9.6</v>
      </c>
      <c r="V29" s="20"/>
      <c r="W29" s="20"/>
    </row>
    <row r="30" spans="1:23" ht="15.75">
      <c r="A30" s="19"/>
      <c r="B30" s="19" t="s">
        <v>33</v>
      </c>
      <c r="C30" s="21">
        <f t="shared" si="3"/>
        <v>10</v>
      </c>
      <c r="D30" s="20" t="s">
        <v>53</v>
      </c>
      <c r="E30" s="20"/>
      <c r="F30" s="20"/>
      <c r="G30" s="20"/>
      <c r="H30" s="20"/>
      <c r="I30" s="26">
        <f>'Cow-Calf Data Input'!$P$136</f>
        <v>7.2</v>
      </c>
      <c r="J30" s="26">
        <f>'Cow-Calf Data Input'!$P$136</f>
        <v>7.2</v>
      </c>
      <c r="K30" s="26">
        <f>'Cow-Calf Data Input'!$P$136</f>
        <v>7.2</v>
      </c>
      <c r="L30" s="26"/>
      <c r="M30" s="55"/>
      <c r="N30" s="26">
        <f>'Cow-Calf Data Input'!$P$136</f>
        <v>7.2</v>
      </c>
      <c r="O30" s="26">
        <f>'Cow-Calf Data Input'!$P$136</f>
        <v>7.2</v>
      </c>
      <c r="P30" s="26">
        <f>'Cow-Calf Data Input'!$P$136</f>
        <v>7.2</v>
      </c>
      <c r="Q30" s="26"/>
      <c r="R30" s="58"/>
      <c r="S30" s="26">
        <f>'Cow-Calf Data Input'!$P$136</f>
        <v>7.2</v>
      </c>
      <c r="T30" s="26">
        <f>'Cow-Calf Data Input'!$P$136</f>
        <v>7.2</v>
      </c>
      <c r="U30" s="26">
        <f>'Cow-Calf Data Input'!$P$136</f>
        <v>7.2</v>
      </c>
      <c r="V30" s="20"/>
      <c r="W30" s="20"/>
    </row>
    <row r="31" spans="1:23" ht="15.75">
      <c r="A31" s="19"/>
      <c r="B31" s="19" t="s">
        <v>33</v>
      </c>
      <c r="C31" s="21">
        <f t="shared" si="3"/>
        <v>11</v>
      </c>
      <c r="D31" s="20" t="s">
        <v>55</v>
      </c>
      <c r="E31" s="20"/>
      <c r="F31" s="20"/>
      <c r="G31" s="20"/>
      <c r="H31" s="20"/>
      <c r="I31" s="26">
        <f>'Cow-Calf Data Input'!$P$137</f>
        <v>8</v>
      </c>
      <c r="J31" s="26">
        <f>'Cow-Calf Data Input'!$P$137</f>
        <v>8</v>
      </c>
      <c r="K31" s="26">
        <f>'Cow-Calf Data Input'!$P$137</f>
        <v>8</v>
      </c>
      <c r="L31" s="26"/>
      <c r="M31" s="55"/>
      <c r="N31" s="26">
        <f>'Cow-Calf Data Input'!$P$137</f>
        <v>8</v>
      </c>
      <c r="O31" s="26">
        <f>'Cow-Calf Data Input'!$P$137</f>
        <v>8</v>
      </c>
      <c r="P31" s="26">
        <f>'Cow-Calf Data Input'!$P$137</f>
        <v>8</v>
      </c>
      <c r="Q31" s="26"/>
      <c r="R31" s="58"/>
      <c r="S31" s="26">
        <f>'Cow-Calf Data Input'!$P$137</f>
        <v>8</v>
      </c>
      <c r="T31" s="26">
        <f>'Cow-Calf Data Input'!$P$137</f>
        <v>8</v>
      </c>
      <c r="U31" s="26">
        <f>'Cow-Calf Data Input'!$P$137</f>
        <v>8</v>
      </c>
      <c r="V31" s="20"/>
      <c r="W31" s="20"/>
    </row>
    <row r="32" spans="1:23" ht="15.75">
      <c r="A32" s="19"/>
      <c r="B32" s="19" t="s">
        <v>33</v>
      </c>
      <c r="C32" s="21">
        <f t="shared" si="3"/>
        <v>12</v>
      </c>
      <c r="D32" s="20" t="s">
        <v>56</v>
      </c>
      <c r="E32" s="20"/>
      <c r="F32" s="20"/>
      <c r="G32" s="20"/>
      <c r="H32" s="20"/>
      <c r="I32" s="26">
        <f>'Cow-Calf Data Input'!$P$138</f>
        <v>7.3</v>
      </c>
      <c r="J32" s="26">
        <f>'Cow-Calf Data Input'!$P$138</f>
        <v>7.3</v>
      </c>
      <c r="K32" s="26">
        <f>'Cow-Calf Data Input'!$P$138</f>
        <v>7.3</v>
      </c>
      <c r="L32" s="26"/>
      <c r="M32" s="55"/>
      <c r="N32" s="26">
        <f>'Cow-Calf Data Input'!$P$138</f>
        <v>7.3</v>
      </c>
      <c r="O32" s="26">
        <f>'Cow-Calf Data Input'!$P$138</f>
        <v>7.3</v>
      </c>
      <c r="P32" s="26">
        <f>'Cow-Calf Data Input'!$P$138</f>
        <v>7.3</v>
      </c>
      <c r="Q32" s="26"/>
      <c r="R32" s="58"/>
      <c r="S32" s="26">
        <f>'Cow-Calf Data Input'!$P$138</f>
        <v>7.3</v>
      </c>
      <c r="T32" s="26">
        <f>'Cow-Calf Data Input'!$P$138</f>
        <v>7.3</v>
      </c>
      <c r="U32" s="26">
        <f>'Cow-Calf Data Input'!$P$138</f>
        <v>7.3</v>
      </c>
      <c r="V32" s="20"/>
      <c r="W32" s="20"/>
    </row>
    <row r="33" spans="1:23" ht="15.75">
      <c r="A33" s="19"/>
      <c r="B33" s="19" t="s">
        <v>33</v>
      </c>
      <c r="C33" s="21">
        <f t="shared" si="3"/>
        <v>13</v>
      </c>
      <c r="D33" s="20" t="s">
        <v>58</v>
      </c>
      <c r="E33" s="20"/>
      <c r="F33" s="20"/>
      <c r="G33" s="20"/>
      <c r="H33" s="20"/>
      <c r="I33" s="26">
        <f>I15*'Cow-Calf Data Input'!$J$43/'Cow-Calf Data Input'!$J$13</f>
        <v>29.504</v>
      </c>
      <c r="J33" s="26">
        <f>J15*'Cow-Calf Data Input'!$J$43/'Cow-Calf Data Input'!$J$13</f>
        <v>33.754</v>
      </c>
      <c r="K33" s="26">
        <f>K15*'Cow-Calf Data Input'!$J$43/'Cow-Calf Data Input'!$J$13</f>
        <v>37.154</v>
      </c>
      <c r="L33" s="26"/>
      <c r="M33" s="55"/>
      <c r="N33" s="26">
        <f>N15*'Cow-Calf Data Input'!$J$43/'Cow-Calf Data Input'!$J$13</f>
        <v>31.004</v>
      </c>
      <c r="O33" s="26">
        <f>O15*'Cow-Calf Data Input'!$J$43/'Cow-Calf Data Input'!$J$13</f>
        <v>35.504</v>
      </c>
      <c r="P33" s="26">
        <f>P15*'Cow-Calf Data Input'!$J$43/'Cow-Calf Data Input'!$J$13</f>
        <v>39.104</v>
      </c>
      <c r="Q33" s="26"/>
      <c r="R33" s="58"/>
      <c r="S33" s="26">
        <f>S15*'Cow-Calf Data Input'!$J$43/'Cow-Calf Data Input'!$J$13</f>
        <v>32.504</v>
      </c>
      <c r="T33" s="26">
        <f>T15*'Cow-Calf Data Input'!$J$43/'Cow-Calf Data Input'!$J$13</f>
        <v>37.254</v>
      </c>
      <c r="U33" s="26">
        <f>U15*'Cow-Calf Data Input'!$J$43/'Cow-Calf Data Input'!$J$13</f>
        <v>41.053999999999995</v>
      </c>
      <c r="V33" s="20"/>
      <c r="W33" s="20"/>
    </row>
    <row r="34" spans="1:23" ht="15.75">
      <c r="A34" s="19"/>
      <c r="B34" s="19" t="s">
        <v>33</v>
      </c>
      <c r="C34" s="21">
        <f t="shared" si="3"/>
        <v>14</v>
      </c>
      <c r="D34" s="20" t="s">
        <v>59</v>
      </c>
      <c r="E34" s="20"/>
      <c r="F34" s="20"/>
      <c r="G34" s="20"/>
      <c r="H34" s="20"/>
      <c r="I34" s="26">
        <f>'Cow-Calf Data Input'!$P$140</f>
        <v>0</v>
      </c>
      <c r="J34" s="26">
        <f>'Cow-Calf Data Input'!$P$140</f>
        <v>0</v>
      </c>
      <c r="K34" s="26">
        <f>'Cow-Calf Data Input'!$P$140</f>
        <v>0</v>
      </c>
      <c r="L34" s="26"/>
      <c r="M34" s="55"/>
      <c r="N34" s="26">
        <f>'Cow-Calf Data Input'!$P$140</f>
        <v>0</v>
      </c>
      <c r="O34" s="26">
        <f>'Cow-Calf Data Input'!$P$140</f>
        <v>0</v>
      </c>
      <c r="P34" s="26">
        <f>'Cow-Calf Data Input'!$P$140</f>
        <v>0</v>
      </c>
      <c r="Q34" s="26"/>
      <c r="R34" s="58"/>
      <c r="S34" s="26">
        <f>'Cow-Calf Data Input'!$P$140</f>
        <v>0</v>
      </c>
      <c r="T34" s="26">
        <f>'Cow-Calf Data Input'!$P$140</f>
        <v>0</v>
      </c>
      <c r="U34" s="26">
        <f>'Cow-Calf Data Input'!$P$140</f>
        <v>0</v>
      </c>
      <c r="V34" s="20"/>
      <c r="W34" s="20"/>
    </row>
    <row r="35" spans="1:23" ht="15.75">
      <c r="A35" s="19"/>
      <c r="B35" s="19" t="s">
        <v>33</v>
      </c>
      <c r="C35" s="21">
        <f t="shared" si="3"/>
        <v>15</v>
      </c>
      <c r="D35" s="20" t="s">
        <v>61</v>
      </c>
      <c r="E35" s="20"/>
      <c r="F35" s="20"/>
      <c r="G35" s="20"/>
      <c r="H35" s="20"/>
      <c r="I35" s="26">
        <f>'Cow-Calf Data Input'!$M$17</f>
        <v>150</v>
      </c>
      <c r="J35" s="26">
        <f>'Cow-Calf Data Input'!$M$17</f>
        <v>150</v>
      </c>
      <c r="K35" s="26">
        <f>'Cow-Calf Data Input'!$M$17</f>
        <v>150</v>
      </c>
      <c r="L35" s="26"/>
      <c r="M35" s="55"/>
      <c r="N35" s="26">
        <f>'Cow-Calf Data Input'!$M$17</f>
        <v>150</v>
      </c>
      <c r="O35" s="26">
        <f>'Cow-Calf Data Input'!$M$17</f>
        <v>150</v>
      </c>
      <c r="P35" s="26">
        <f>'Cow-Calf Data Input'!$M$17</f>
        <v>150</v>
      </c>
      <c r="Q35" s="26"/>
      <c r="R35" s="58"/>
      <c r="S35" s="26">
        <f>'Cow-Calf Data Input'!$M$17</f>
        <v>150</v>
      </c>
      <c r="T35" s="26">
        <f>'Cow-Calf Data Input'!$M$17</f>
        <v>150</v>
      </c>
      <c r="U35" s="26">
        <f>'Cow-Calf Data Input'!$M$17</f>
        <v>150</v>
      </c>
      <c r="V35" s="20"/>
      <c r="W35" s="20"/>
    </row>
    <row r="36" spans="1:23" ht="15.75">
      <c r="A36" s="19"/>
      <c r="B36" s="19" t="s">
        <v>33</v>
      </c>
      <c r="C36" s="21">
        <f t="shared" si="3"/>
        <v>16</v>
      </c>
      <c r="D36" s="20" t="s">
        <v>192</v>
      </c>
      <c r="E36" s="20"/>
      <c r="F36" s="20"/>
      <c r="G36" s="20"/>
      <c r="H36" s="20"/>
      <c r="I36" s="26">
        <f>'Cow-Calf Data Input'!$M$25</f>
        <v>33</v>
      </c>
      <c r="J36" s="26">
        <f>'Cow-Calf Data Input'!$M$25</f>
        <v>33</v>
      </c>
      <c r="K36" s="26">
        <f>'Cow-Calf Data Input'!$M$25</f>
        <v>33</v>
      </c>
      <c r="L36" s="26"/>
      <c r="M36" s="55"/>
      <c r="N36" s="26">
        <f>'Cow-Calf Data Input'!$M$25</f>
        <v>33</v>
      </c>
      <c r="O36" s="26">
        <f>'Cow-Calf Data Input'!$M$25</f>
        <v>33</v>
      </c>
      <c r="P36" s="26">
        <f>'Cow-Calf Data Input'!$M$25</f>
        <v>33</v>
      </c>
      <c r="Q36" s="26"/>
      <c r="R36" s="58"/>
      <c r="S36" s="26">
        <f>'Cow-Calf Data Input'!$M$25</f>
        <v>33</v>
      </c>
      <c r="T36" s="26">
        <f>'Cow-Calf Data Input'!$M$25</f>
        <v>33</v>
      </c>
      <c r="U36" s="26">
        <f>'Cow-Calf Data Input'!$M$25</f>
        <v>33</v>
      </c>
      <c r="V36" s="20"/>
      <c r="W36" s="20"/>
    </row>
    <row r="37" spans="1:23" ht="15.75">
      <c r="A37" s="19"/>
      <c r="B37" s="19" t="s">
        <v>33</v>
      </c>
      <c r="C37" s="21">
        <f t="shared" si="3"/>
        <v>17</v>
      </c>
      <c r="D37" s="20" t="s">
        <v>166</v>
      </c>
      <c r="E37" s="20"/>
      <c r="F37" s="20"/>
      <c r="G37" s="20"/>
      <c r="H37" s="20"/>
      <c r="I37" s="26">
        <f>'Cow-Calf Data Input'!$M$21*'Cow-Calf Data Input'!$J$22</f>
        <v>67.65</v>
      </c>
      <c r="J37" s="26">
        <f>'Cow-Calf Data Input'!$M$21*'Cow-Calf Data Input'!$J$22</f>
        <v>67.65</v>
      </c>
      <c r="K37" s="26">
        <f>'Cow-Calf Data Input'!$M$21*'Cow-Calf Data Input'!$J$22</f>
        <v>67.65</v>
      </c>
      <c r="L37" s="26"/>
      <c r="M37" s="55"/>
      <c r="N37" s="26">
        <f>'Cow-Calf Data Input'!$M$21*'Cow-Calf Data Input'!$J$22</f>
        <v>67.65</v>
      </c>
      <c r="O37" s="26">
        <f>'Cow-Calf Data Input'!$M$21*'Cow-Calf Data Input'!$J$22</f>
        <v>67.65</v>
      </c>
      <c r="P37" s="26">
        <f>'Cow-Calf Data Input'!$M$21*'Cow-Calf Data Input'!$J$22</f>
        <v>67.65</v>
      </c>
      <c r="Q37" s="26"/>
      <c r="R37" s="58">
        <f>'Cow-Calf Data Input'!$M$21*'Cow-Calf Data Input'!$J$22</f>
        <v>67.65</v>
      </c>
      <c r="S37" s="26">
        <f>'Cow-Calf Data Input'!$M$21*'Cow-Calf Data Input'!$J$22</f>
        <v>67.65</v>
      </c>
      <c r="T37" s="26">
        <f>'Cow-Calf Data Input'!$M$21*'Cow-Calf Data Input'!$J$22</f>
        <v>67.65</v>
      </c>
      <c r="U37" s="26">
        <f>'Cow-Calf Data Input'!$M$21*'Cow-Calf Data Input'!$J$22</f>
        <v>67.65</v>
      </c>
      <c r="V37" s="20"/>
      <c r="W37" s="20"/>
    </row>
    <row r="38" spans="1:23" ht="15.75">
      <c r="A38" s="19"/>
      <c r="B38" s="19" t="s">
        <v>33</v>
      </c>
      <c r="C38" s="21">
        <f t="shared" si="3"/>
        <v>18</v>
      </c>
      <c r="D38" s="20" t="s">
        <v>167</v>
      </c>
      <c r="E38" s="20"/>
      <c r="F38" s="20"/>
      <c r="G38" s="20"/>
      <c r="H38" s="20"/>
      <c r="I38" s="26">
        <f>'Cow-Calf Data Input'!$M$21*('Cow-Calf Data Input'!$J$23+'Cow-Calf Data Input'!$J$24)</f>
        <v>0</v>
      </c>
      <c r="J38" s="26">
        <f>'Cow-Calf Data Input'!$M$21*('Cow-Calf Data Input'!$J$23+'Cow-Calf Data Input'!$J$24)</f>
        <v>0</v>
      </c>
      <c r="K38" s="26">
        <f>'Cow-Calf Data Input'!$M$21*('Cow-Calf Data Input'!$J$23+'Cow-Calf Data Input'!$J$24)</f>
        <v>0</v>
      </c>
      <c r="L38" s="26"/>
      <c r="M38" s="55"/>
      <c r="N38" s="26">
        <f>'Cow-Calf Data Input'!$M$21*('Cow-Calf Data Input'!$J$23+'Cow-Calf Data Input'!$J$24)</f>
        <v>0</v>
      </c>
      <c r="O38" s="26">
        <f>'Cow-Calf Data Input'!$M$21*('Cow-Calf Data Input'!$J$23+'Cow-Calf Data Input'!$J$24)</f>
        <v>0</v>
      </c>
      <c r="P38" s="26">
        <f>'Cow-Calf Data Input'!$M$21*('Cow-Calf Data Input'!$J$23+'Cow-Calf Data Input'!$J$24)</f>
        <v>0</v>
      </c>
      <c r="Q38" s="26"/>
      <c r="R38" s="58">
        <f>'Cow-Calf Data Input'!$M$21*('Cow-Calf Data Input'!$J$23+'Cow-Calf Data Input'!$J$24)</f>
        <v>0</v>
      </c>
      <c r="S38" s="26">
        <f>'Cow-Calf Data Input'!$M$21*('Cow-Calf Data Input'!$J$23+'Cow-Calf Data Input'!$J$24)</f>
        <v>0</v>
      </c>
      <c r="T38" s="26">
        <f>'Cow-Calf Data Input'!$M$21*('Cow-Calf Data Input'!$J$23+'Cow-Calf Data Input'!$J$24)</f>
        <v>0</v>
      </c>
      <c r="U38" s="26">
        <f>'Cow-Calf Data Input'!$M$21*('Cow-Calf Data Input'!$J$23+'Cow-Calf Data Input'!$J$24)</f>
        <v>0</v>
      </c>
      <c r="V38" s="20"/>
      <c r="W38" s="20"/>
    </row>
    <row r="39" spans="1:23" ht="18.75">
      <c r="A39" s="19"/>
      <c r="B39" s="19" t="s">
        <v>33</v>
      </c>
      <c r="C39" s="21">
        <f t="shared" si="3"/>
        <v>19</v>
      </c>
      <c r="D39" s="20" t="s">
        <v>154</v>
      </c>
      <c r="E39" s="20"/>
      <c r="F39" s="20"/>
      <c r="G39" s="20"/>
      <c r="H39" s="20"/>
      <c r="I39" s="26">
        <f>SUM(I21:I38)*'Cow-Calf Data Input'!$H$141*0.5</f>
        <v>25.924591</v>
      </c>
      <c r="J39" s="26">
        <f>SUM(J21:J38)*'Cow-Calf Data Input'!$H$141*0.5</f>
        <v>26.041466</v>
      </c>
      <c r="K39" s="26">
        <f>SUM(K21:K38)*'Cow-Calf Data Input'!$H$141*0.5</f>
        <v>26.134966</v>
      </c>
      <c r="L39" s="26"/>
      <c r="M39" s="55"/>
      <c r="N39" s="26">
        <f>SUM(N21:N38)*'Cow-Calf Data Input'!$H$141*0.5</f>
        <v>25.965841</v>
      </c>
      <c r="O39" s="26">
        <f>SUM(O21:O38)*'Cow-Calf Data Input'!$H$141*0.5</f>
        <v>26.089591</v>
      </c>
      <c r="P39" s="26">
        <f>SUM(P21:P38)*'Cow-Calf Data Input'!$H$141*0.5</f>
        <v>26.188591000000002</v>
      </c>
      <c r="Q39" s="26"/>
      <c r="R39" s="58"/>
      <c r="S39" s="26">
        <f>SUM(S21:S38)*'Cow-Calf Data Input'!$H$141*0.5</f>
        <v>26.007091</v>
      </c>
      <c r="T39" s="26">
        <f>SUM(T21:T38)*'Cow-Calf Data Input'!$H$141*0.5</f>
        <v>26.137716</v>
      </c>
      <c r="U39" s="26">
        <f>SUM(U21:U38)*'Cow-Calf Data Input'!$H$141*0.5</f>
        <v>26.242216</v>
      </c>
      <c r="V39" s="20"/>
      <c r="W39" s="20"/>
    </row>
    <row r="40" spans="1:23" ht="15.75">
      <c r="A40" s="19"/>
      <c r="B40" s="19" t="s">
        <v>33</v>
      </c>
      <c r="C40" s="21">
        <f t="shared" si="3"/>
        <v>20</v>
      </c>
      <c r="D40" s="30" t="s">
        <v>68</v>
      </c>
      <c r="E40" s="20"/>
      <c r="F40" s="20"/>
      <c r="G40" s="20"/>
      <c r="H40" s="20"/>
      <c r="I40" s="26">
        <f>SUM(I21:I39)</f>
        <v>968.636991</v>
      </c>
      <c r="J40" s="26">
        <f>SUM(J21:J39)</f>
        <v>973.003866</v>
      </c>
      <c r="K40" s="26">
        <f>SUM(K21:K39)</f>
        <v>976.4973659999999</v>
      </c>
      <c r="L40" s="26"/>
      <c r="M40" s="55"/>
      <c r="N40" s="26">
        <f>SUM(N21:N39)</f>
        <v>970.178241</v>
      </c>
      <c r="O40" s="26">
        <f>SUM(O21:O39)</f>
        <v>974.801991</v>
      </c>
      <c r="P40" s="26">
        <f>SUM(P21:P39)</f>
        <v>978.500991</v>
      </c>
      <c r="Q40" s="26"/>
      <c r="R40" s="58"/>
      <c r="S40" s="26">
        <f>SUM(S21:S39)</f>
        <v>971.719491</v>
      </c>
      <c r="T40" s="26">
        <f>SUM(T21:T39)</f>
        <v>976.600116</v>
      </c>
      <c r="U40" s="26">
        <f>SUM(U21:U39)</f>
        <v>980.5046159999999</v>
      </c>
      <c r="V40" s="20"/>
      <c r="W40" s="20"/>
    </row>
    <row r="41" spans="1:23" ht="15.7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55"/>
      <c r="N41" s="20"/>
      <c r="O41" s="20"/>
      <c r="P41" s="20"/>
      <c r="Q41" s="20"/>
      <c r="R41" s="55"/>
      <c r="S41" s="20"/>
      <c r="T41" s="20"/>
      <c r="U41" s="20"/>
      <c r="V41" s="20"/>
      <c r="W41" s="20"/>
    </row>
    <row r="42" spans="1:23" ht="15.75">
      <c r="A42" s="19" t="s">
        <v>70</v>
      </c>
      <c r="B42" s="20" t="s">
        <v>161</v>
      </c>
      <c r="C42" s="20"/>
      <c r="D42" s="20"/>
      <c r="E42" s="20"/>
      <c r="F42" s="20"/>
      <c r="G42" s="20"/>
      <c r="H42" s="20"/>
      <c r="I42" s="26">
        <f>I18-I40</f>
        <v>-231.03699099999994</v>
      </c>
      <c r="J42" s="26">
        <f>J18-J40</f>
        <v>-129.153866</v>
      </c>
      <c r="K42" s="26">
        <f>K18-K40</f>
        <v>-47.64736599999992</v>
      </c>
      <c r="L42" s="26"/>
      <c r="M42" s="55"/>
      <c r="N42" s="26">
        <f>N18-N40</f>
        <v>-195.07824099999993</v>
      </c>
      <c r="O42" s="26">
        <f>O18-O40</f>
        <v>-87.20199100000002</v>
      </c>
      <c r="P42" s="26">
        <f>P18-P40</f>
        <v>-0.9009909999999763</v>
      </c>
      <c r="Q42" s="26"/>
      <c r="R42" s="58"/>
      <c r="S42" s="26">
        <f>S18-S40</f>
        <v>-159.11949099999993</v>
      </c>
      <c r="T42" s="26">
        <f>T18-T40</f>
        <v>-45.250115999999935</v>
      </c>
      <c r="U42" s="26">
        <f>U18-U40</f>
        <v>45.84538399999997</v>
      </c>
      <c r="V42" s="20"/>
      <c r="W42" s="20"/>
    </row>
    <row r="43" spans="1:23" ht="15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55"/>
      <c r="N43" s="20"/>
      <c r="O43" s="20"/>
      <c r="P43" s="20"/>
      <c r="Q43" s="20"/>
      <c r="R43" s="55"/>
      <c r="S43" s="20"/>
      <c r="T43" s="20"/>
      <c r="U43" s="20"/>
      <c r="V43" s="20"/>
      <c r="W43" s="20"/>
    </row>
    <row r="44" spans="1:23" ht="15.75">
      <c r="A44" s="19" t="s">
        <v>73</v>
      </c>
      <c r="B44" s="20" t="s">
        <v>211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55"/>
      <c r="N44" s="20"/>
      <c r="O44" s="20"/>
      <c r="P44" s="20"/>
      <c r="Q44" s="20"/>
      <c r="R44" s="55"/>
      <c r="S44" s="20"/>
      <c r="T44" s="20"/>
      <c r="U44" s="20"/>
      <c r="V44" s="20"/>
      <c r="W44" s="20"/>
    </row>
    <row r="45" spans="1:23" ht="15.75">
      <c r="A45" s="19"/>
      <c r="B45" s="19" t="s">
        <v>73</v>
      </c>
      <c r="C45" s="21">
        <v>1</v>
      </c>
      <c r="D45" s="20" t="s">
        <v>76</v>
      </c>
      <c r="E45" s="20"/>
      <c r="F45" s="20"/>
      <c r="G45" s="20"/>
      <c r="H45" s="20"/>
      <c r="I45" s="26">
        <f>(I21+I22)/(I9*0.01)</f>
        <v>95.27576470588235</v>
      </c>
      <c r="J45" s="26">
        <f aca="true" t="shared" si="4" ref="J45:U45">(J21+J22)/(J9*0.01)</f>
        <v>76.22061176470588</v>
      </c>
      <c r="K45" s="26">
        <f t="shared" si="4"/>
        <v>63.51717647058823</v>
      </c>
      <c r="L45" s="26"/>
      <c r="M45" s="55"/>
      <c r="N45" s="26">
        <f t="shared" si="4"/>
        <v>89.98266666666666</v>
      </c>
      <c r="O45" s="26">
        <f t="shared" si="4"/>
        <v>71.98613333333333</v>
      </c>
      <c r="P45" s="26">
        <f t="shared" si="4"/>
        <v>59.98844444444444</v>
      </c>
      <c r="Q45" s="26"/>
      <c r="R45" s="58" t="e">
        <f t="shared" si="4"/>
        <v>#DIV/0!</v>
      </c>
      <c r="S45" s="26">
        <f t="shared" si="4"/>
        <v>85.24673684210525</v>
      </c>
      <c r="T45" s="26">
        <f t="shared" si="4"/>
        <v>68.19738947368421</v>
      </c>
      <c r="U45" s="26">
        <f t="shared" si="4"/>
        <v>56.83115789473684</v>
      </c>
      <c r="V45" s="20"/>
      <c r="W45" s="20"/>
    </row>
    <row r="46" spans="1:23" ht="15.75">
      <c r="A46" s="19"/>
      <c r="B46" s="19" t="s">
        <v>73</v>
      </c>
      <c r="C46" s="21">
        <v>2</v>
      </c>
      <c r="D46" s="20" t="s">
        <v>172</v>
      </c>
      <c r="E46" s="20"/>
      <c r="F46" s="20"/>
      <c r="G46" s="20"/>
      <c r="H46" s="20"/>
      <c r="I46" s="26">
        <f>(I40-I17)/(I9*0.01)</f>
        <v>204.36164494117645</v>
      </c>
      <c r="J46" s="26">
        <f aca="true" t="shared" si="5" ref="J46:U46">(J40-J17)/(J9*0.01)</f>
        <v>164.3113159529412</v>
      </c>
      <c r="K46" s="26">
        <f t="shared" si="5"/>
        <v>137.47409662745096</v>
      </c>
      <c r="L46" s="26"/>
      <c r="M46" s="55"/>
      <c r="N46" s="26">
        <f t="shared" si="5"/>
        <v>193.3507202222222</v>
      </c>
      <c r="O46" s="26">
        <f t="shared" si="5"/>
        <v>155.50257617777777</v>
      </c>
      <c r="P46" s="26">
        <f t="shared" si="5"/>
        <v>130.13348014814815</v>
      </c>
      <c r="Q46" s="26"/>
      <c r="R46" s="58" t="e">
        <f t="shared" si="5"/>
        <v>#DIV/0!</v>
      </c>
      <c r="S46" s="26">
        <f t="shared" si="5"/>
        <v>183.4988402105263</v>
      </c>
      <c r="T46" s="26">
        <f t="shared" si="5"/>
        <v>147.62107216842105</v>
      </c>
      <c r="U46" s="26">
        <f t="shared" si="5"/>
        <v>123.56556014035087</v>
      </c>
      <c r="V46" s="20"/>
      <c r="W46" s="20"/>
    </row>
    <row r="47" spans="1:23" ht="15.7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55"/>
      <c r="N47" s="20"/>
      <c r="O47" s="20"/>
      <c r="P47" s="20"/>
      <c r="Q47" s="20"/>
      <c r="R47" s="55"/>
      <c r="S47" s="20"/>
      <c r="T47" s="20"/>
      <c r="U47" s="20"/>
      <c r="V47" s="20"/>
      <c r="W47" s="20"/>
    </row>
    <row r="48" spans="1:23" ht="18.75">
      <c r="A48" s="19" t="s">
        <v>78</v>
      </c>
      <c r="B48" s="32" t="s">
        <v>155</v>
      </c>
      <c r="C48" s="32"/>
      <c r="D48" s="32"/>
      <c r="E48" s="32"/>
      <c r="F48" s="32"/>
      <c r="G48" s="32"/>
      <c r="H48" s="32"/>
      <c r="I48" s="36">
        <f>I18/('Cow-Calf Data Input'!$M$21+'Cow-Calf Data Input'!$P$84+'Cow-Calf Data Input'!$P$123)</f>
        <v>0.4533218609796571</v>
      </c>
      <c r="J48" s="36">
        <f>J18/('Cow-Calf Data Input'!$M$21+'Cow-Calf Data Input'!$P$84+'Cow-Calf Data Input'!$P$123)</f>
        <v>0.5186220883780961</v>
      </c>
      <c r="K48" s="36">
        <f>K18/('Cow-Calf Data Input'!$M$21+'Cow-Calf Data Input'!$P$84+'Cow-Calf Data Input'!$P$123)</f>
        <v>0.5708622702968472</v>
      </c>
      <c r="L48" s="36"/>
      <c r="M48" s="55"/>
      <c r="N48" s="36">
        <f>N18/('Cow-Calf Data Input'!$M$21+'Cow-Calf Data Input'!$P$84+'Cow-Calf Data Input'!$P$123)</f>
        <v>0.4763690000614591</v>
      </c>
      <c r="O48" s="36">
        <f>O18/('Cow-Calf Data Input'!$M$21+'Cow-Calf Data Input'!$P$84+'Cow-Calf Data Input'!$P$123)</f>
        <v>0.545510417306865</v>
      </c>
      <c r="P48" s="36">
        <f>P18/('Cow-Calf Data Input'!$M$21+'Cow-Calf Data Input'!$P$84+'Cow-Calf Data Input'!$P$123)</f>
        <v>0.6008235511031897</v>
      </c>
      <c r="Q48" s="36"/>
      <c r="R48" s="61"/>
      <c r="S48" s="36">
        <f>S18/('Cow-Calf Data Input'!$M$21+'Cow-Calf Data Input'!$P$84+'Cow-Calf Data Input'!$P$123)</f>
        <v>0.49941613914326105</v>
      </c>
      <c r="T48" s="36">
        <f>T18/('Cow-Calf Data Input'!$M$21+'Cow-Calf Data Input'!$P$84+'Cow-Calf Data Input'!$P$123)</f>
        <v>0.572398746235634</v>
      </c>
      <c r="U48" s="36">
        <f>U18/('Cow-Calf Data Input'!$M$21+'Cow-Calf Data Input'!$P$84+'Cow-Calf Data Input'!$P$123)</f>
        <v>0.6307848319095323</v>
      </c>
      <c r="V48" s="20"/>
      <c r="W48" s="20"/>
    </row>
    <row r="49" spans="1:23" ht="15.75">
      <c r="A49" s="19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5"/>
      <c r="N49" s="32"/>
      <c r="O49" s="32"/>
      <c r="P49" s="32"/>
      <c r="Q49" s="32"/>
      <c r="R49" s="55"/>
      <c r="S49" s="32"/>
      <c r="T49" s="32"/>
      <c r="U49" s="32"/>
      <c r="V49" s="20"/>
      <c r="W49" s="20"/>
    </row>
    <row r="50" spans="1:23" ht="15.75">
      <c r="A50" s="19" t="s">
        <v>80</v>
      </c>
      <c r="B50" s="32" t="s">
        <v>84</v>
      </c>
      <c r="C50" s="32"/>
      <c r="D50" s="32"/>
      <c r="E50" s="32"/>
      <c r="F50" s="32"/>
      <c r="G50" s="32"/>
      <c r="H50" s="32"/>
      <c r="I50" s="33">
        <f>(I42+I39+I37+I26)/('Cow-Calf Data Input'!$M$21+'Cow-Calf Data Input'!$P$84+'Cow-Calf Data Input'!$P$123)</f>
        <v>-0.07526421240243375</v>
      </c>
      <c r="J50" s="33">
        <f>(J42+J39+J37+J26)/('Cow-Calf Data Input'!$M$21+'Cow-Calf Data Input'!$P$84+'Cow-Calf Data Input'!$P$123)</f>
        <v>-0.012575994099932389</v>
      </c>
      <c r="K50" s="33">
        <f>(K42+K39+K37+K26)/('Cow-Calf Data Input'!$M$21+'Cow-Calf Data Input'!$P$84+'Cow-Calf Data Input'!$P$123)</f>
        <v>0.03757458054206877</v>
      </c>
      <c r="L50" s="33"/>
      <c r="M50" s="55"/>
      <c r="N50" s="33">
        <f>(N42+N39+N37+N26)/('Cow-Calf Data Input'!$M$21+'Cow-Calf Data Input'!$P$84+'Cow-Calf Data Input'!$P$123)</f>
        <v>-0.05313895888390383</v>
      </c>
      <c r="O50" s="33">
        <f>(O42+O39+O37+O26)/('Cow-Calf Data Input'!$M$21+'Cow-Calf Data Input'!$P$84+'Cow-Calf Data Input'!$P$123)</f>
        <v>0.013236801671685812</v>
      </c>
      <c r="P50" s="33">
        <f>(P42+P39+P37+P26)/('Cow-Calf Data Input'!$M$21+'Cow-Calf Data Input'!$P$84+'Cow-Calf Data Input'!$P$123)</f>
        <v>0.06633741011615761</v>
      </c>
      <c r="Q50" s="33"/>
      <c r="R50" s="62"/>
      <c r="S50" s="33">
        <f>(S42+S39+S37+S26)/('Cow-Calf Data Input'!$M$21+'Cow-Calf Data Input'!$P$84+'Cow-Calf Data Input'!$P$123)</f>
        <v>-0.031013705365373928</v>
      </c>
      <c r="T50" s="33">
        <f>(T42+T39+T37+T26)/('Cow-Calf Data Input'!$M$21+'Cow-Calf Data Input'!$P$84+'Cow-Calf Data Input'!$P$123)</f>
        <v>0.03904959744330408</v>
      </c>
      <c r="U50" s="33">
        <f>(U42+U39+U37+U26)/('Cow-Calf Data Input'!$M$21+'Cow-Calf Data Input'!$P$84+'Cow-Calf Data Input'!$P$123)</f>
        <v>0.09510023969024645</v>
      </c>
      <c r="V50" s="20"/>
      <c r="W50" s="20"/>
    </row>
    <row r="51" spans="1:23" ht="18.75">
      <c r="A51" s="34"/>
      <c r="B51" s="32" t="s">
        <v>156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5"/>
      <c r="N51" s="32"/>
      <c r="O51" s="32"/>
      <c r="P51" s="32"/>
      <c r="Q51" s="32"/>
      <c r="R51" s="55"/>
      <c r="S51" s="32"/>
      <c r="T51" s="32"/>
      <c r="U51" s="32"/>
      <c r="V51" s="20"/>
      <c r="W51" s="20"/>
    </row>
    <row r="52" spans="1:23" ht="15.75">
      <c r="A52" s="70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20"/>
    </row>
    <row r="53" spans="1:23" ht="18.75">
      <c r="A53" s="20" t="s">
        <v>170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8.75">
      <c r="A54" s="20" t="s">
        <v>157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5.75">
      <c r="A55" s="20" t="s">
        <v>196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5.75">
      <c r="A56" s="20" t="s">
        <v>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5.75">
      <c r="A57" s="20" t="s">
        <v>197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8.75">
      <c r="A58" s="20" t="s">
        <v>158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5.75">
      <c r="A59" s="20" t="s">
        <v>195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5.75">
      <c r="A60" s="20" t="s">
        <v>194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2" ht="18">
      <c r="A61" s="20" t="s">
        <v>171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"/>
      <c r="Q61" s="2"/>
      <c r="R61" s="2"/>
      <c r="S61" s="2"/>
      <c r="T61" s="2"/>
      <c r="U61" s="2"/>
      <c r="V61" s="2"/>
    </row>
    <row r="62" spans="1:22" ht="18">
      <c r="A62" s="2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V62" s="2"/>
    </row>
    <row r="63" spans="1:22" ht="18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8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8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8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8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8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8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8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</sheetData>
  <sheetProtection/>
  <printOptions horizontalCentered="1" verticalCentered="1"/>
  <pageMargins left="0" right="0" top="0" bottom="0.25" header="0" footer="0"/>
  <pageSetup fitToHeight="1" fitToWidth="1" horizontalDpi="300" verticalDpi="3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ACES/CoAg/AAES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prevajw</dc:creator>
  <cp:keywords/>
  <dc:description/>
  <cp:lastModifiedBy>William Kelley</cp:lastModifiedBy>
  <cp:lastPrinted>2017-08-28T20:18:54Z</cp:lastPrinted>
  <dcterms:created xsi:type="dcterms:W3CDTF">2010-11-28T22:19:24Z</dcterms:created>
  <dcterms:modified xsi:type="dcterms:W3CDTF">2017-08-28T20:19:21Z</dcterms:modified>
  <cp:category/>
  <cp:version/>
  <cp:contentType/>
  <cp:contentStatus/>
</cp:coreProperties>
</file>