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LLEWI\Desktop\2017-18 STocker Budgets with PDF\"/>
    </mc:Choice>
  </mc:AlternateContent>
  <bookViews>
    <workbookView xWindow="0" yWindow="0" windowWidth="19200" windowHeight="12225"/>
  </bookViews>
  <sheets>
    <sheet name="Grz Lt Wt 2017" sheetId="1" r:id="rId1"/>
  </sheets>
  <externalReferences>
    <externalReference r:id="rId2"/>
    <externalReference r:id="rId3"/>
  </externalReferences>
  <definedNames>
    <definedName name="\AUTOEXEC" localSheetId="0">'Grz Lt Wt 2017'!$M$1</definedName>
    <definedName name="\autoexeci">[1]FesEst02!$K$1</definedName>
    <definedName name="\l" localSheetId="0">'Grz Lt Wt 2017'!$M$31:$M$32</definedName>
    <definedName name="\p" localSheetId="0">'Grz Lt Wt 2017'!$M$3</definedName>
    <definedName name="ANCHOR">#REF!</definedName>
    <definedName name="BTABLE" localSheetId="0">'Grz Lt Wt 2017'!$A$18:$G$94</definedName>
    <definedName name="BTABLE1" localSheetId="0">'Grz Lt Wt 2017'!$A$18:$H$94</definedName>
    <definedName name="CHEMICAL">#REF!</definedName>
    <definedName name="ETABLE">#REF!</definedName>
    <definedName name="FOOT" localSheetId="0">'Grz Lt Wt 2017'!$M$11:$W$15</definedName>
    <definedName name="FOOT1" localSheetId="0">'Grz Lt Wt 2017'!$M$16:$V$21</definedName>
    <definedName name="FOOTJC">#REF!</definedName>
    <definedName name="HEAD">#REF!</definedName>
    <definedName name="HELP" localSheetId="0">'Grz Lt Wt 2017'!$A$1:$G$17</definedName>
    <definedName name="HERB">#REF!</definedName>
    <definedName name="INFO">#REF!</definedName>
    <definedName name="INSECT">#REF!</definedName>
    <definedName name="INVEST" localSheetId="0">'Grz Lt Wt 2017'!$A$98:$L$168</definedName>
    <definedName name="JWFOOT">#REF!</definedName>
    <definedName name="JWFOOT1">#REF!</definedName>
    <definedName name="JWHELP">#REF!</definedName>
    <definedName name="JWMTABLE">#REF!</definedName>
    <definedName name="JWTABLE">#REF!</definedName>
    <definedName name="JWTABLE1">#REF!</definedName>
    <definedName name="JWTRAC">#REF!</definedName>
    <definedName name="MTABLE">#REF!</definedName>
    <definedName name="_xlnm.Print_Area" localSheetId="0">'Grz Lt Wt 2017'!$A$18:$I$169</definedName>
    <definedName name="REF">#REF!</definedName>
    <definedName name="rename">[2]FesEstab09!#REF!</definedName>
    <definedName name="STABLE">#REF!</definedName>
    <definedName name="TRAC">#REF!</definedName>
  </definedName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C24" i="1"/>
  <c r="E32" i="1" s="1"/>
  <c r="K24" i="1"/>
  <c r="K25" i="1" s="1"/>
  <c r="C32" i="1"/>
  <c r="E45" i="1" s="1"/>
  <c r="F32" i="1"/>
  <c r="C35" i="1"/>
  <c r="G35" i="1" s="1"/>
  <c r="E35" i="1"/>
  <c r="E37" i="1"/>
  <c r="G37" i="1" s="1"/>
  <c r="E38" i="1"/>
  <c r="G38" i="1" s="1"/>
  <c r="E39" i="1"/>
  <c r="G39" i="1" s="1"/>
  <c r="E40" i="1"/>
  <c r="G40" i="1" s="1"/>
  <c r="E41" i="1"/>
  <c r="G41" i="1" s="1"/>
  <c r="E42" i="1"/>
  <c r="G42" i="1" s="1"/>
  <c r="E43" i="1"/>
  <c r="G43" i="1" s="1"/>
  <c r="E55" i="1"/>
  <c r="G55" i="1" s="1"/>
  <c r="A95" i="1"/>
  <c r="B95" i="1"/>
  <c r="F105" i="1"/>
  <c r="J105" i="1" s="1"/>
  <c r="M105" i="1"/>
  <c r="M112" i="1" s="1"/>
  <c r="G59" i="1" s="1"/>
  <c r="N105" i="1"/>
  <c r="F106" i="1"/>
  <c r="J106" i="1" s="1"/>
  <c r="K106" i="1" s="1"/>
  <c r="L106" i="1"/>
  <c r="M106" i="1"/>
  <c r="F107" i="1"/>
  <c r="J107" i="1"/>
  <c r="K107" i="1" s="1"/>
  <c r="L107" i="1"/>
  <c r="M107" i="1"/>
  <c r="F108" i="1"/>
  <c r="F109" i="1"/>
  <c r="J109" i="1" s="1"/>
  <c r="L109" i="1"/>
  <c r="M109" i="1"/>
  <c r="F110" i="1"/>
  <c r="J110" i="1" s="1"/>
  <c r="K110" i="1" s="1"/>
  <c r="L110" i="1"/>
  <c r="M110" i="1"/>
  <c r="A123" i="1"/>
  <c r="D126" i="1"/>
  <c r="E126" i="1"/>
  <c r="F126" i="1"/>
  <c r="G126" i="1"/>
  <c r="H126" i="1"/>
  <c r="B132" i="1"/>
  <c r="B146" i="1"/>
  <c r="B139" i="1" s="1"/>
  <c r="B153" i="1"/>
  <c r="B160" i="1"/>
  <c r="H38" i="1" l="1"/>
  <c r="H41" i="1"/>
  <c r="H37" i="1"/>
  <c r="A23" i="1"/>
  <c r="K26" i="1"/>
  <c r="E36" i="1" s="1"/>
  <c r="H59" i="1"/>
  <c r="H55" i="1"/>
  <c r="H40" i="1"/>
  <c r="J112" i="1"/>
  <c r="H43" i="1"/>
  <c r="H39" i="1"/>
  <c r="K48" i="1"/>
  <c r="G69" i="1"/>
  <c r="H35" i="1"/>
  <c r="K20" i="1"/>
  <c r="G32" i="1"/>
  <c r="A71" i="1"/>
  <c r="H42" i="1"/>
  <c r="C146" i="1"/>
  <c r="F112" i="1"/>
  <c r="E57" i="1" s="1"/>
  <c r="G57" i="1" s="1"/>
  <c r="K109" i="1"/>
  <c r="L105" i="1"/>
  <c r="L112" i="1" s="1"/>
  <c r="G47" i="1" s="1"/>
  <c r="E46" i="1"/>
  <c r="G46" i="1" s="1"/>
  <c r="K105" i="1"/>
  <c r="H57" i="1" l="1"/>
  <c r="G67" i="1"/>
  <c r="G71" i="1" s="1"/>
  <c r="G75" i="1"/>
  <c r="H32" i="1"/>
  <c r="F45" i="1" s="1"/>
  <c r="G45" i="1" s="1"/>
  <c r="E44" i="1"/>
  <c r="G44" i="1" s="1"/>
  <c r="G36" i="1"/>
  <c r="E56" i="1"/>
  <c r="G56" i="1" s="1"/>
  <c r="H46" i="1"/>
  <c r="K112" i="1"/>
  <c r="G58" i="1" s="1"/>
  <c r="H47" i="1"/>
  <c r="C132" i="1"/>
  <c r="C148" i="1"/>
  <c r="C160" i="1"/>
  <c r="C139" i="1"/>
  <c r="C153" i="1"/>
  <c r="C144" i="1"/>
  <c r="C155" i="1" l="1"/>
  <c r="C141" i="1"/>
  <c r="C134" i="1"/>
  <c r="C162" i="1"/>
  <c r="H56" i="1"/>
  <c r="G61" i="1"/>
  <c r="F148" i="1" s="1"/>
  <c r="H58" i="1"/>
  <c r="H36" i="1"/>
  <c r="E48" i="1"/>
  <c r="G48" i="1" s="1"/>
  <c r="G50" i="1" s="1"/>
  <c r="F153" i="1"/>
  <c r="G153" i="1"/>
  <c r="D153" i="1"/>
  <c r="H139" i="1"/>
  <c r="F139" i="1"/>
  <c r="F132" i="1"/>
  <c r="D132" i="1"/>
  <c r="H132" i="1"/>
  <c r="H44" i="1"/>
  <c r="F146" i="1"/>
  <c r="E160" i="1"/>
  <c r="G160" i="1"/>
  <c r="H45" i="1"/>
  <c r="C137" i="1"/>
  <c r="H144" i="1"/>
  <c r="C130" i="1"/>
  <c r="E144" i="1"/>
  <c r="C158" i="1"/>
  <c r="F144" i="1"/>
  <c r="C151" i="1"/>
  <c r="G144" i="1"/>
  <c r="G63" i="1" l="1"/>
  <c r="I50" i="1" s="1"/>
  <c r="H50" i="1"/>
  <c r="G77" i="1"/>
  <c r="G85" i="1"/>
  <c r="G52" i="1"/>
  <c r="F158" i="1"/>
  <c r="E158" i="1"/>
  <c r="H158" i="1"/>
  <c r="G158" i="1"/>
  <c r="D158" i="1"/>
  <c r="D144" i="1"/>
  <c r="H160" i="1"/>
  <c r="F160" i="1"/>
  <c r="E132" i="1"/>
  <c r="E139" i="1"/>
  <c r="H153" i="1"/>
  <c r="E148" i="1"/>
  <c r="E134" i="1"/>
  <c r="D134" i="1"/>
  <c r="H134" i="1"/>
  <c r="F134" i="1"/>
  <c r="G134" i="1"/>
  <c r="F137" i="1"/>
  <c r="H137" i="1"/>
  <c r="E137" i="1"/>
  <c r="D137" i="1"/>
  <c r="G137" i="1"/>
  <c r="I48" i="1"/>
  <c r="H48" i="1"/>
  <c r="D148" i="1"/>
  <c r="F141" i="1"/>
  <c r="E141" i="1"/>
  <c r="H141" i="1"/>
  <c r="G141" i="1"/>
  <c r="D141" i="1"/>
  <c r="E151" i="1"/>
  <c r="D151" i="1"/>
  <c r="F151" i="1"/>
  <c r="H151" i="1"/>
  <c r="G151" i="1"/>
  <c r="F130" i="1"/>
  <c r="E130" i="1"/>
  <c r="G130" i="1"/>
  <c r="H130" i="1"/>
  <c r="D130" i="1"/>
  <c r="D160" i="1"/>
  <c r="G146" i="1"/>
  <c r="G132" i="1"/>
  <c r="G139" i="1"/>
  <c r="D139" i="1"/>
  <c r="E153" i="1"/>
  <c r="D146" i="1"/>
  <c r="G148" i="1"/>
  <c r="D155" i="1"/>
  <c r="H155" i="1"/>
  <c r="E155" i="1"/>
  <c r="F155" i="1"/>
  <c r="G155" i="1"/>
  <c r="H61" i="1"/>
  <c r="I61" i="1"/>
  <c r="H146" i="1"/>
  <c r="H148" i="1"/>
  <c r="E162" i="1"/>
  <c r="H162" i="1"/>
  <c r="F162" i="1"/>
  <c r="D162" i="1"/>
  <c r="G162" i="1"/>
  <c r="E146" i="1"/>
  <c r="G81" i="1" l="1"/>
  <c r="H52" i="1"/>
  <c r="G79" i="1"/>
  <c r="G87" i="1"/>
  <c r="H63" i="1"/>
  <c r="G73" i="1"/>
  <c r="I63" i="1"/>
  <c r="I59" i="1"/>
  <c r="I55" i="1"/>
  <c r="I43" i="1"/>
  <c r="I35" i="1"/>
  <c r="I38" i="1"/>
  <c r="I41" i="1"/>
  <c r="I40" i="1"/>
  <c r="I42" i="1"/>
  <c r="I39" i="1"/>
  <c r="I37" i="1"/>
  <c r="I47" i="1"/>
  <c r="I57" i="1"/>
  <c r="G65" i="1"/>
  <c r="I46" i="1"/>
  <c r="I36" i="1"/>
  <c r="I45" i="1"/>
  <c r="I56" i="1"/>
  <c r="I58" i="1"/>
  <c r="I44" i="1"/>
  <c r="H65" i="1" l="1"/>
  <c r="G83" i="1"/>
  <c r="K88" i="1"/>
  <c r="K87" i="1" s="1"/>
  <c r="G89" i="1" s="1"/>
  <c r="G91" i="1" l="1"/>
</calcChain>
</file>

<file path=xl/sharedStrings.xml><?xml version="1.0" encoding="utf-8"?>
<sst xmlns="http://schemas.openxmlformats.org/spreadsheetml/2006/main" count="260" uniqueCount="130">
  <si>
    <t xml:space="preserve">                             MAX RUNGE, EXTENSION ECONOMIST</t>
  </si>
  <si>
    <t xml:space="preserve">                            SOREN RODNING, EXTENSION VETERINARIAN</t>
  </si>
  <si>
    <t xml:space="preserve">                             KIM MULLENIX, EXTENSION ANIMAL SCIENTIST</t>
  </si>
  <si>
    <t>REFERENCES: KEN KELLEY, REGIONAL EXTENSION AGENT</t>
  </si>
  <si>
    <t xml:space="preserve">  (1) PRODUCTION COSTS ARE HELD CONSTANT.</t>
  </si>
  <si>
    <t>-------  dollars / head  -------</t>
  </si>
  <si>
    <t xml:space="preserve"> Steers, ($/Cwt.)</t>
  </si>
  <si>
    <t>(Lbs.)</t>
  </si>
  <si>
    <t xml:space="preserve">Steers, ($/Cwt.) </t>
  </si>
  <si>
    <t>For Feeder Cattle,</t>
  </si>
  <si>
    <t xml:space="preserve"> Per Head</t>
  </si>
  <si>
    <t># Stocker Calves,</t>
  </si>
  <si>
    <t xml:space="preserve">Price Received </t>
  </si>
  <si>
    <t xml:space="preserve"> Weight Gain</t>
  </si>
  <si>
    <t xml:space="preserve"> For</t>
  </si>
  <si>
    <t>Total</t>
  </si>
  <si>
    <t>Price Paid</t>
  </si>
  <si>
    <t>AT VARIOUS WEIGHT GAINS AND PURCHASE/SELLING PRICES(1)</t>
  </si>
  <si>
    <t>SENSITIVITY OF NET RETURN PER HEAD ABOVE TOTAL COSTS</t>
  </si>
  <si>
    <t>TOTAL</t>
  </si>
  <si>
    <t>PICKUP</t>
  </si>
  <si>
    <t>MINERAL FEEDER</t>
  </si>
  <si>
    <t>WATER TANK, ETC.</t>
  </si>
  <si>
    <t>FEED BUNK</t>
  </si>
  <si>
    <t>CORRAL</t>
  </si>
  <si>
    <t>FENCING</t>
  </si>
  <si>
    <t/>
  </si>
  <si>
    <t xml:space="preserve">   TION</t>
  </si>
  <si>
    <t xml:space="preserve">  VALUE</t>
  </si>
  <si>
    <t xml:space="preserve"> OF LIFE</t>
  </si>
  <si>
    <t xml:space="preserve"> VALUE(%)</t>
  </si>
  <si>
    <t xml:space="preserve"> CHARGED</t>
  </si>
  <si>
    <t>NUMBER</t>
  </si>
  <si>
    <t>COST</t>
  </si>
  <si>
    <t>INSURANCE</t>
  </si>
  <si>
    <t xml:space="preserve"> REPAIRS</t>
  </si>
  <si>
    <t xml:space="preserve"> DEPRECIA-</t>
  </si>
  <si>
    <t xml:space="preserve"> SALVAGE</t>
  </si>
  <si>
    <t>YEARS</t>
  </si>
  <si>
    <t>PROPORTION</t>
  </si>
  <si>
    <t>ESTIMATED</t>
  </si>
  <si>
    <t>ITEM</t>
  </si>
  <si>
    <t>FACILITIES AND EQUIPMENT</t>
  </si>
  <si>
    <t>THESE ESTIMATES SHOULD BE USED AS GUIDES FOR PLANNING PURPOSES ONLY.</t>
  </si>
  <si>
    <t xml:space="preserve">                              TO COVER TOTAL COSTS ($/CWT)</t>
  </si>
  <si>
    <t>MAXIMUM STOCKER PURCH. PRICE: TO COVER VARIABLE COSTS ($/CWT)</t>
  </si>
  <si>
    <t>BREAKEVEN FEEDER PRICE:       TO COVER VARIABLE COSTS ($/CWT)</t>
  </si>
  <si>
    <t xml:space="preserve">                              ABOVE TOTAL COSTS ($/HD)</t>
  </si>
  <si>
    <t>NET RETURNS PER HEAD SOLD:    ABOVE VARIABLE COSTS ($/HD)</t>
  </si>
  <si>
    <t>COST OF GAIN PER CWT.:        TO COVER VARIABLE COSTS ($/CWT)</t>
  </si>
  <si>
    <t>VALUE OF GAIN PER CWT. ($/CWT)</t>
  </si>
  <si>
    <t>TOTAL PRODUCTION COST PER HEAD ($/HD SOLD)</t>
  </si>
  <si>
    <t>GROSS MARGIN ($/HD SOLD)</t>
  </si>
  <si>
    <t>CWT. OF GAIN/HD. SOLD;</t>
  </si>
  <si>
    <t>COST OF PURCHASED STOCKER CALVES PER HEAD ($/HD SOLD)</t>
  </si>
  <si>
    <t>VALUE OF FEEDER CATTLE PER HEAD ($/HD SOLD)</t>
  </si>
  <si>
    <t>6. NET RETURN ABOVE TOTAL COSTS</t>
  </si>
  <si>
    <t>5. TOTAL COST OF ALL SPECIFIED EXPENSES</t>
  </si>
  <si>
    <t xml:space="preserve">    TOTAL FIXED COSTS</t>
  </si>
  <si>
    <t xml:space="preserve">    DOL.</t>
  </si>
  <si>
    <t xml:space="preserve">    OTHER F.C. ON BLDG. &amp; EQUIP.</t>
  </si>
  <si>
    <t xml:space="preserve">    DEPR. ON BLDG. AND EQUIP.</t>
  </si>
  <si>
    <t xml:space="preserve">    INT. ON BLDG. AND EQUIPMENT</t>
  </si>
  <si>
    <t xml:space="preserve">    ACRE</t>
  </si>
  <si>
    <t xml:space="preserve">    WINTER GRAZING</t>
  </si>
  <si>
    <t>HD.</t>
  </si>
  <si>
    <t xml:space="preserve">    GENERAL OVERHEAD</t>
  </si>
  <si>
    <t>4. FIXED COST</t>
  </si>
  <si>
    <t>3. INCOME ABOVE VARIABLE COST</t>
  </si>
  <si>
    <t xml:space="preserve">    TOTAL VARIABLE COSTS</t>
  </si>
  <si>
    <t xml:space="preserve">    INTEREST ON OP. CAP.</t>
  </si>
  <si>
    <t xml:space="preserve">    EQUIPMENT (REPAIR)</t>
  </si>
  <si>
    <t xml:space="preserve">    HD.</t>
  </si>
  <si>
    <t xml:space="preserve">    BEEF PROMOTION FEE</t>
  </si>
  <si>
    <t xml:space="preserve">    MARKETING EXPENSES</t>
  </si>
  <si>
    <t xml:space="preserve">    LAND RENTAL</t>
  </si>
  <si>
    <t xml:space="preserve">    HR.</t>
  </si>
  <si>
    <t xml:space="preserve">    LABOR</t>
  </si>
  <si>
    <t xml:space="preserve">    TON</t>
  </si>
  <si>
    <t xml:space="preserve">    SUPPLEMENTAL FEED</t>
  </si>
  <si>
    <t xml:space="preserve">    BACKGROUNDING FEED</t>
  </si>
  <si>
    <t xml:space="preserve">    STARTER/RECEIVING FEED</t>
  </si>
  <si>
    <t xml:space="preserve">    VET &amp; MED</t>
  </si>
  <si>
    <t xml:space="preserve">    HAY</t>
  </si>
  <si>
    <t xml:space="preserve">    CWT.</t>
  </si>
  <si>
    <t xml:space="preserve">    SALT &amp; MIN.</t>
  </si>
  <si>
    <t xml:space="preserve">    STOCKER CALVES</t>
  </si>
  <si>
    <t>2. VARIABLE COST</t>
  </si>
  <si>
    <t>`</t>
  </si>
  <si>
    <t xml:space="preserve">    FEEDER CATTLE</t>
  </si>
  <si>
    <t>1. GROSS RECEIPTS</t>
  </si>
  <si>
    <t>SOLD</t>
  </si>
  <si>
    <t>VALUE/COST</t>
  </si>
  <si>
    <t xml:space="preserve"> COST/UNIT</t>
  </si>
  <si>
    <t>% OF</t>
  </si>
  <si>
    <t>$/HEAD</t>
  </si>
  <si>
    <t>PRICE OR</t>
  </si>
  <si>
    <t>QUANTITY</t>
  </si>
  <si>
    <t xml:space="preserve">    UNIT</t>
  </si>
  <si>
    <t>HEAD</t>
  </si>
  <si>
    <t>hd stocked / acre</t>
  </si>
  <si>
    <t>ALABAMA, 2017-2018</t>
  </si>
  <si>
    <t>head/acre</t>
  </si>
  <si>
    <t>pounds per head</t>
  </si>
  <si>
    <t>PER CWT.</t>
  </si>
  <si>
    <t>LBS. ENDING WEIGHT W/ 2 % SHRINK</t>
  </si>
  <si>
    <t xml:space="preserve"> % DEATH LOSS;</t>
  </si>
  <si>
    <t>pounds per acre</t>
  </si>
  <si>
    <t>FEEDER CATTLE BASIS</t>
  </si>
  <si>
    <t>MAY</t>
  </si>
  <si>
    <t>DAYS OF SUPPLEMENTAL FEED REQUIRED;</t>
  </si>
  <si>
    <t>HD. STOCKED/AC;</t>
  </si>
  <si>
    <t>NOTE-- STOCK @ 675#/ ACRE (1.5Hd/Ac * 450lbs/Hd) IF TURN IN IS IN LATE DEC. OR EARLY JAN</t>
  </si>
  <si>
    <t>DAYS OF BACKGROUNDING FEED REQUIRED;</t>
  </si>
  <si>
    <t>LBS.STOCKED/AC;</t>
  </si>
  <si>
    <t>FUTURES CONTRACT PRICE</t>
  </si>
  <si>
    <t>DAYS OF STARTER/RECEIVING FEED REQUIRED; 5LB./DAY</t>
  </si>
  <si>
    <t>LBS. ADG.;</t>
  </si>
  <si>
    <t>[Truckload capacity is 500 Cwt. Or 50,000#.]</t>
  </si>
  <si>
    <t>Cwt.</t>
  </si>
  <si>
    <t>TOTAL DAYS STOCKER PROGRAM;</t>
  </si>
  <si>
    <t>LBS. BEG. WT.;</t>
  </si>
  <si>
    <t>CWT.</t>
  </si>
  <si>
    <t>ESTIMATED COSTS AND RETURNS; USING RECOMMENDED MANAGEMENT PRACTICES;</t>
  </si>
  <si>
    <t>HEAD: STOCKER-STEER BUDGET (WINTER GRAZING - LIGHT WEIGHT CALVES);</t>
  </si>
  <si>
    <t>NOTE: Changes can be made ONLY in the  HIGHLIGHTED cells.</t>
  </si>
  <si>
    <t>.</t>
  </si>
  <si>
    <t>STOCKERS ON WINTER ANNUALS BUDGET</t>
  </si>
  <si>
    <t xml:space="preserve"> UTILIZING WINTER ANNUALS.  The worksheet consists of an ENTER-</t>
  </si>
  <si>
    <t xml:space="preserve"> This worksheet reflects the estimated cost/returns of a STOCKERS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</si>
</sst>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)"/>
    <numFmt numFmtId="165" formatCode="0_)"/>
    <numFmt numFmtId="166" formatCode="#,##0.0000"/>
    <numFmt numFmtId="167" formatCode="&quot;$&quot;#,##0.00"/>
  </numFmts>
  <fonts count="15" x14ac:knownFonts="1"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theme="1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rgb="FF0000FF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2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164" fontId="1" fillId="0" borderId="0"/>
    <xf numFmtId="164" fontId="1" fillId="0" borderId="0"/>
  </cellStyleXfs>
  <cellXfs count="143">
    <xf numFmtId="0" fontId="0" fillId="0" borderId="0" xfId="0"/>
    <xf numFmtId="164" fontId="2" fillId="0" borderId="0" xfId="1" applyFont="1"/>
    <xf numFmtId="0" fontId="2" fillId="0" borderId="0" xfId="0" applyFont="1"/>
    <xf numFmtId="0" fontId="2" fillId="2" borderId="0" xfId="0" applyFont="1" applyFill="1"/>
    <xf numFmtId="164" fontId="2" fillId="2" borderId="0" xfId="1" applyFont="1" applyFill="1"/>
    <xf numFmtId="164" fontId="3" fillId="2" borderId="0" xfId="1" applyFont="1" applyFill="1"/>
    <xf numFmtId="164" fontId="4" fillId="2" borderId="0" xfId="1" applyFont="1" applyFill="1" applyAlignment="1" applyProtection="1">
      <alignment horizontal="left"/>
      <protection locked="0"/>
    </xf>
    <xf numFmtId="164" fontId="4" fillId="2" borderId="0" xfId="2" applyFont="1" applyFill="1" applyAlignment="1" applyProtection="1">
      <alignment horizontal="left"/>
      <protection locked="0"/>
    </xf>
    <xf numFmtId="0" fontId="2" fillId="2" borderId="0" xfId="0" applyFont="1" applyFill="1" applyBorder="1"/>
    <xf numFmtId="164" fontId="3" fillId="2" borderId="0" xfId="1" applyFont="1" applyFill="1" applyBorder="1"/>
    <xf numFmtId="165" fontId="3" fillId="2" borderId="0" xfId="1" applyNumberFormat="1" applyFont="1" applyFill="1" applyAlignment="1" applyProtection="1">
      <alignment horizontal="left"/>
    </xf>
    <xf numFmtId="164" fontId="2" fillId="0" borderId="0" xfId="1" applyFont="1" applyBorder="1"/>
    <xf numFmtId="164" fontId="3" fillId="2" borderId="1" xfId="1" applyFont="1" applyFill="1" applyBorder="1"/>
    <xf numFmtId="164" fontId="3" fillId="2" borderId="2" xfId="1" applyFont="1" applyFill="1" applyBorder="1"/>
    <xf numFmtId="164" fontId="3" fillId="2" borderId="3" xfId="1" applyFont="1" applyFill="1" applyBorder="1"/>
    <xf numFmtId="164" fontId="3" fillId="2" borderId="4" xfId="1" quotePrefix="1" applyFont="1" applyFill="1" applyBorder="1" applyProtection="1"/>
    <xf numFmtId="164" fontId="3" fillId="2" borderId="0" xfId="1" quotePrefix="1" applyFont="1" applyFill="1" applyProtection="1"/>
    <xf numFmtId="165" fontId="3" fillId="2" borderId="4" xfId="1" applyNumberFormat="1" applyFont="1" applyFill="1" applyBorder="1" applyAlignment="1" applyProtection="1">
      <alignment horizontal="center"/>
    </xf>
    <xf numFmtId="164" fontId="3" fillId="2" borderId="0" xfId="1" applyFont="1" applyFill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3" fillId="2" borderId="0" xfId="1" applyFont="1" applyFill="1" applyAlignment="1" applyProtection="1">
      <alignment horizontal="center"/>
    </xf>
    <xf numFmtId="164" fontId="3" fillId="2" borderId="4" xfId="1" applyFont="1" applyFill="1" applyBorder="1"/>
    <xf numFmtId="164" fontId="3" fillId="2" borderId="5" xfId="1" quotePrefix="1" applyFont="1" applyFill="1" applyBorder="1" applyProtection="1"/>
    <xf numFmtId="164" fontId="3" fillId="2" borderId="0" xfId="1" quotePrefix="1" applyFont="1" applyFill="1" applyAlignment="1" applyProtection="1">
      <alignment horizontal="left"/>
    </xf>
    <xf numFmtId="164" fontId="3" fillId="2" borderId="6" xfId="1" applyFont="1" applyFill="1" applyBorder="1" applyProtection="1"/>
    <xf numFmtId="164" fontId="3" fillId="2" borderId="0" xfId="1" applyFont="1" applyFill="1" applyBorder="1" applyProtection="1"/>
    <xf numFmtId="164" fontId="3" fillId="2" borderId="2" xfId="1" applyFont="1" applyFill="1" applyBorder="1" applyProtection="1"/>
    <xf numFmtId="165" fontId="3" fillId="2" borderId="0" xfId="1" quotePrefix="1" applyNumberFormat="1" applyFont="1" applyFill="1" applyAlignment="1" applyProtection="1">
      <alignment horizontal="center"/>
    </xf>
    <xf numFmtId="165" fontId="3" fillId="2" borderId="0" xfId="1" applyNumberFormat="1" applyFont="1" applyFill="1" applyAlignment="1" applyProtection="1">
      <alignment horizontal="center"/>
    </xf>
    <xf numFmtId="164" fontId="3" fillId="2" borderId="0" xfId="1" quotePrefix="1" applyFont="1" applyFill="1" applyAlignment="1" applyProtection="1">
      <alignment horizontal="center"/>
    </xf>
    <xf numFmtId="0" fontId="3" fillId="2" borderId="0" xfId="1" applyNumberFormat="1" applyFont="1" applyFill="1" applyAlignment="1" applyProtection="1">
      <alignment horizontal="right"/>
    </xf>
    <xf numFmtId="164" fontId="3" fillId="2" borderId="0" xfId="1" applyFont="1" applyFill="1" applyAlignment="1" applyProtection="1">
      <alignment horizontal="left"/>
    </xf>
    <xf numFmtId="164" fontId="2" fillId="0" borderId="0" xfId="1" applyFont="1" applyProtection="1"/>
    <xf numFmtId="4" fontId="3" fillId="2" borderId="0" xfId="1" applyNumberFormat="1" applyFont="1" applyFill="1" applyProtection="1"/>
    <xf numFmtId="4" fontId="3" fillId="2" borderId="0" xfId="1" applyNumberFormat="1" applyFont="1" applyFill="1"/>
    <xf numFmtId="164" fontId="4" fillId="2" borderId="0" xfId="1" applyFont="1" applyFill="1" applyAlignment="1" applyProtection="1">
      <alignment horizontal="fill"/>
      <protection locked="0"/>
    </xf>
    <xf numFmtId="3" fontId="3" fillId="2" borderId="7" xfId="1" applyNumberFormat="1" applyFont="1" applyFill="1" applyBorder="1" applyProtection="1"/>
    <xf numFmtId="165" fontId="5" fillId="0" borderId="0" xfId="1" applyNumberFormat="1" applyFont="1" applyProtection="1">
      <protection locked="0"/>
    </xf>
    <xf numFmtId="4" fontId="4" fillId="2" borderId="0" xfId="1" applyNumberFormat="1" applyFont="1" applyFill="1" applyProtection="1">
      <protection locked="0"/>
    </xf>
    <xf numFmtId="3" fontId="3" fillId="2" borderId="0" xfId="1" applyNumberFormat="1" applyFont="1" applyFill="1" applyProtection="1"/>
    <xf numFmtId="164" fontId="3" fillId="2" borderId="0" xfId="1" applyFont="1" applyFill="1" applyAlignment="1" applyProtection="1">
      <alignment horizontal="fill"/>
    </xf>
    <xf numFmtId="164" fontId="3" fillId="2" borderId="0" xfId="1" applyFont="1" applyFill="1" applyAlignment="1" applyProtection="1">
      <alignment horizontal="right"/>
    </xf>
    <xf numFmtId="164" fontId="2" fillId="0" borderId="0" xfId="1" applyFont="1" applyAlignment="1" applyProtection="1">
      <alignment horizontal="left"/>
    </xf>
    <xf numFmtId="164" fontId="3" fillId="2" borderId="2" xfId="1" applyFont="1" applyFill="1" applyBorder="1" applyAlignment="1" applyProtection="1">
      <alignment horizontal="right"/>
    </xf>
    <xf numFmtId="164" fontId="3" fillId="2" borderId="2" xfId="1" applyFont="1" applyFill="1" applyBorder="1" applyAlignment="1" applyProtection="1">
      <alignment horizontal="center"/>
    </xf>
    <xf numFmtId="165" fontId="3" fillId="2" borderId="2" xfId="1" applyNumberFormat="1" applyFont="1" applyFill="1" applyBorder="1" applyAlignment="1" applyProtection="1">
      <alignment horizontal="right"/>
    </xf>
    <xf numFmtId="165" fontId="3" fillId="2" borderId="0" xfId="1" applyNumberFormat="1" applyFont="1" applyFill="1" applyAlignment="1" applyProtection="1">
      <alignment horizontal="right"/>
    </xf>
    <xf numFmtId="164" fontId="4" fillId="2" borderId="0" xfId="1" applyFont="1" applyFill="1" applyBorder="1" applyAlignment="1" applyProtection="1">
      <alignment horizontal="left"/>
      <protection locked="0"/>
    </xf>
    <xf numFmtId="164" fontId="6" fillId="2" borderId="0" xfId="1" applyFont="1" applyFill="1" applyAlignment="1" applyProtection="1">
      <alignment horizontal="left"/>
    </xf>
    <xf numFmtId="0" fontId="7" fillId="2" borderId="0" xfId="1" applyNumberFormat="1" applyFont="1" applyFill="1" applyProtection="1">
      <protection locked="0"/>
    </xf>
    <xf numFmtId="164" fontId="5" fillId="0" borderId="0" xfId="1" applyFont="1" applyAlignment="1" applyProtection="1">
      <alignment horizontal="left"/>
      <protection locked="0"/>
    </xf>
    <xf numFmtId="0" fontId="2" fillId="2" borderId="7" xfId="0" applyFont="1" applyFill="1" applyBorder="1"/>
    <xf numFmtId="164" fontId="4" fillId="2" borderId="7" xfId="1" applyNumberFormat="1" applyFont="1" applyFill="1" applyBorder="1" applyAlignment="1" applyProtection="1">
      <alignment horizontal="fill"/>
      <protection locked="0"/>
    </xf>
    <xf numFmtId="4" fontId="3" fillId="2" borderId="7" xfId="1" applyNumberFormat="1" applyFont="1" applyFill="1" applyBorder="1" applyProtection="1"/>
    <xf numFmtId="4" fontId="3" fillId="2" borderId="7" xfId="1" applyNumberFormat="1" applyFont="1" applyFill="1" applyBorder="1"/>
    <xf numFmtId="164" fontId="3" fillId="2" borderId="7" xfId="1" applyFont="1" applyFill="1" applyBorder="1"/>
    <xf numFmtId="164" fontId="3" fillId="2" borderId="7" xfId="1" applyFont="1" applyFill="1" applyBorder="1" applyAlignment="1" applyProtection="1">
      <alignment horizontal="left"/>
    </xf>
    <xf numFmtId="164" fontId="4" fillId="2" borderId="0" xfId="1" applyNumberFormat="1" applyFont="1" applyFill="1" applyBorder="1" applyAlignment="1" applyProtection="1">
      <alignment horizontal="fill"/>
      <protection locked="0"/>
    </xf>
    <xf numFmtId="164" fontId="4" fillId="2" borderId="0" xfId="1" applyNumberFormat="1" applyFont="1" applyFill="1" applyBorder="1" applyAlignment="1" applyProtection="1">
      <alignment horizontal="left"/>
      <protection locked="0"/>
    </xf>
    <xf numFmtId="4" fontId="3" fillId="2" borderId="0" xfId="1" applyNumberFormat="1" applyFont="1" applyFill="1" applyAlignment="1" applyProtection="1">
      <alignment horizontal="left"/>
    </xf>
    <xf numFmtId="164" fontId="4" fillId="2" borderId="0" xfId="1" applyFont="1" applyFill="1" applyBorder="1" applyAlignment="1" applyProtection="1">
      <alignment horizontal="fill"/>
      <protection locked="0"/>
    </xf>
    <xf numFmtId="164" fontId="3" fillId="2" borderId="0" xfId="1" applyNumberFormat="1" applyFont="1" applyFill="1" applyAlignment="1" applyProtection="1">
      <alignment horizontal="left"/>
    </xf>
    <xf numFmtId="164" fontId="2" fillId="0" borderId="7" xfId="1" applyFont="1" applyBorder="1"/>
    <xf numFmtId="164" fontId="3" fillId="0" borderId="7" xfId="1" applyFont="1" applyBorder="1" applyAlignment="1" applyProtection="1">
      <alignment horizontal="fill"/>
    </xf>
    <xf numFmtId="164" fontId="2" fillId="2" borderId="7" xfId="1" applyFont="1" applyFill="1" applyBorder="1"/>
    <xf numFmtId="164" fontId="3" fillId="2" borderId="8" xfId="1" applyFont="1" applyFill="1" applyBorder="1" applyAlignment="1" applyProtection="1">
      <alignment horizontal="fill"/>
    </xf>
    <xf numFmtId="164" fontId="3" fillId="2" borderId="7" xfId="1" applyFont="1" applyFill="1" applyBorder="1" applyAlignment="1" applyProtection="1">
      <alignment horizontal="fill"/>
    </xf>
    <xf numFmtId="10" fontId="8" fillId="2" borderId="7" xfId="0" applyNumberFormat="1" applyFont="1" applyFill="1" applyBorder="1" applyAlignment="1">
      <alignment horizontal="right"/>
    </xf>
    <xf numFmtId="4" fontId="9" fillId="2" borderId="0" xfId="1" applyNumberFormat="1" applyFont="1" applyFill="1" applyBorder="1" applyAlignment="1" applyProtection="1">
      <alignment horizontal="right"/>
      <protection locked="0"/>
    </xf>
    <xf numFmtId="164" fontId="3" fillId="2" borderId="7" xfId="1" quotePrefix="1" applyFont="1" applyFill="1" applyBorder="1" applyAlignment="1" applyProtection="1">
      <alignment horizontal="left"/>
    </xf>
    <xf numFmtId="10" fontId="3" fillId="2" borderId="0" xfId="0" applyNumberFormat="1" applyFont="1" applyFill="1" applyBorder="1" applyAlignment="1">
      <alignment horizontal="right"/>
    </xf>
    <xf numFmtId="4" fontId="9" fillId="2" borderId="0" xfId="1" applyNumberFormat="1" applyFont="1" applyFill="1" applyAlignment="1" applyProtection="1">
      <alignment horizontal="right"/>
      <protection locked="0"/>
    </xf>
    <xf numFmtId="10" fontId="3" fillId="2" borderId="9" xfId="0" applyNumberFormat="1" applyFont="1" applyFill="1" applyBorder="1" applyAlignment="1">
      <alignment horizontal="right"/>
    </xf>
    <xf numFmtId="4" fontId="9" fillId="2" borderId="9" xfId="1" applyNumberFormat="1" applyFont="1" applyFill="1" applyBorder="1" applyAlignment="1" applyProtection="1">
      <alignment horizontal="right"/>
      <protection locked="0"/>
    </xf>
    <xf numFmtId="4" fontId="3" fillId="2" borderId="9" xfId="1" applyNumberFormat="1" applyFont="1" applyFill="1" applyBorder="1" applyProtection="1"/>
    <xf numFmtId="4" fontId="3" fillId="2" borderId="9" xfId="1" applyNumberFormat="1" applyFont="1" applyFill="1" applyBorder="1" applyAlignment="1" applyProtection="1">
      <alignment horizontal="left"/>
    </xf>
    <xf numFmtId="4" fontId="3" fillId="2" borderId="9" xfId="1" applyNumberFormat="1" applyFont="1" applyFill="1" applyBorder="1"/>
    <xf numFmtId="164" fontId="3" fillId="2" borderId="9" xfId="1" applyFont="1" applyFill="1" applyBorder="1"/>
    <xf numFmtId="164" fontId="3" fillId="2" borderId="9" xfId="1" quotePrefix="1" applyFont="1" applyFill="1" applyBorder="1" applyAlignment="1" applyProtection="1">
      <alignment horizontal="left"/>
    </xf>
    <xf numFmtId="4" fontId="9" fillId="2" borderId="0" xfId="1" applyNumberFormat="1" applyFont="1" applyFill="1" applyAlignment="1" applyProtection="1">
      <alignment horizontal="right"/>
    </xf>
    <xf numFmtId="4" fontId="3" fillId="2" borderId="0" xfId="1" applyNumberFormat="1" applyFont="1" applyFill="1" applyAlignment="1" applyProtection="1">
      <alignment horizontal="right"/>
    </xf>
    <xf numFmtId="10" fontId="3" fillId="2" borderId="10" xfId="0" applyNumberFormat="1" applyFont="1" applyFill="1" applyBorder="1" applyAlignment="1">
      <alignment horizontal="right"/>
    </xf>
    <xf numFmtId="4" fontId="9" fillId="2" borderId="10" xfId="1" applyNumberFormat="1" applyFont="1" applyFill="1" applyBorder="1" applyAlignment="1" applyProtection="1">
      <alignment horizontal="right"/>
      <protection locked="0"/>
    </xf>
    <xf numFmtId="4" fontId="3" fillId="2" borderId="10" xfId="1" applyNumberFormat="1" applyFont="1" applyFill="1" applyBorder="1" applyProtection="1"/>
    <xf numFmtId="166" fontId="4" fillId="2" borderId="0" xfId="1" applyNumberFormat="1" applyFont="1" applyFill="1" applyProtection="1">
      <protection locked="0"/>
    </xf>
    <xf numFmtId="4" fontId="3" fillId="2" borderId="0" xfId="1" applyNumberFormat="1" applyFont="1" applyFill="1" applyProtection="1">
      <protection locked="0"/>
    </xf>
    <xf numFmtId="164" fontId="3" fillId="2" borderId="0" xfId="2" applyFont="1" applyFill="1" applyAlignment="1" applyProtection="1">
      <alignment horizontal="left"/>
    </xf>
    <xf numFmtId="164" fontId="3" fillId="2" borderId="0" xfId="3" applyFont="1" applyFill="1" applyAlignment="1" applyProtection="1">
      <alignment horizontal="left"/>
    </xf>
    <xf numFmtId="164" fontId="4" fillId="2" borderId="0" xfId="1" applyFont="1" applyFill="1" applyAlignment="1" applyProtection="1">
      <alignment horizontal="right"/>
      <protection locked="0"/>
    </xf>
    <xf numFmtId="164" fontId="3" fillId="2" borderId="0" xfId="1" applyFont="1" applyFill="1" applyAlignment="1" applyProtection="1"/>
    <xf numFmtId="2" fontId="3" fillId="2" borderId="0" xfId="1" applyNumberFormat="1" applyFont="1" applyFill="1" applyAlignment="1"/>
    <xf numFmtId="4" fontId="2" fillId="2" borderId="0" xfId="0" applyNumberFormat="1" applyFont="1" applyFill="1" applyBorder="1" applyAlignment="1">
      <alignment horizontal="right"/>
    </xf>
    <xf numFmtId="164" fontId="3" fillId="2" borderId="0" xfId="1" applyFont="1" applyFill="1" applyAlignment="1">
      <alignment horizontal="left"/>
    </xf>
    <xf numFmtId="2" fontId="3" fillId="2" borderId="0" xfId="1" applyNumberFormat="1" applyFont="1" applyFill="1" applyProtection="1"/>
    <xf numFmtId="0" fontId="3" fillId="2" borderId="2" xfId="0" applyFont="1" applyFill="1" applyBorder="1" applyAlignment="1">
      <alignment horizontal="center"/>
    </xf>
    <xf numFmtId="164" fontId="3" fillId="2" borderId="2" xfId="1" applyFont="1" applyFill="1" applyBorder="1" applyAlignment="1" applyProtection="1">
      <alignment horizontal="center"/>
      <protection locked="0"/>
    </xf>
    <xf numFmtId="164" fontId="3" fillId="2" borderId="2" xfId="1" applyNumberFormat="1" applyFont="1" applyFill="1" applyBorder="1" applyAlignment="1" applyProtection="1">
      <alignment horizontal="right"/>
    </xf>
    <xf numFmtId="164" fontId="3" fillId="2" borderId="11" xfId="1" applyFont="1" applyFill="1" applyBorder="1" applyAlignment="1" applyProtection="1">
      <alignment horizontal="center"/>
    </xf>
    <xf numFmtId="164" fontId="3" fillId="2" borderId="0" xfId="1" quotePrefix="1" applyFont="1" applyFill="1" applyAlignment="1" applyProtection="1">
      <alignment horizontal="center"/>
      <protection locked="0"/>
    </xf>
    <xf numFmtId="164" fontId="3" fillId="2" borderId="0" xfId="1" applyNumberFormat="1" applyFont="1" applyFill="1" applyAlignment="1" applyProtection="1">
      <alignment horizontal="right"/>
    </xf>
    <xf numFmtId="2" fontId="4" fillId="0" borderId="0" xfId="1" applyNumberFormat="1" applyFont="1" applyAlignment="1" applyProtection="1">
      <alignment horizontal="right"/>
      <protection locked="0"/>
    </xf>
    <xf numFmtId="164" fontId="7" fillId="2" borderId="2" xfId="1" applyFont="1" applyFill="1" applyBorder="1" applyAlignment="1" applyProtection="1">
      <alignment horizontal="left"/>
      <protection locked="0"/>
    </xf>
    <xf numFmtId="0" fontId="3" fillId="2" borderId="2" xfId="0" applyFont="1" applyFill="1" applyBorder="1"/>
    <xf numFmtId="164" fontId="3" fillId="2" borderId="2" xfId="1" applyFont="1" applyFill="1" applyBorder="1" applyAlignment="1" applyProtection="1">
      <alignment horizontal="left"/>
    </xf>
    <xf numFmtId="0" fontId="11" fillId="2" borderId="2" xfId="1" applyNumberFormat="1" applyFont="1" applyFill="1" applyBorder="1" applyAlignment="1" applyProtection="1">
      <alignment horizontal="right"/>
    </xf>
    <xf numFmtId="2" fontId="7" fillId="2" borderId="2" xfId="1" applyNumberFormat="1" applyFont="1" applyFill="1" applyBorder="1" applyAlignment="1" applyProtection="1">
      <alignment horizontal="right"/>
      <protection locked="0"/>
    </xf>
    <xf numFmtId="0" fontId="3" fillId="2" borderId="0" xfId="0" applyFont="1" applyFill="1"/>
    <xf numFmtId="164" fontId="3" fillId="2" borderId="0" xfId="1" applyFont="1" applyFill="1" applyAlignment="1">
      <alignment horizontal="right"/>
    </xf>
    <xf numFmtId="0" fontId="7" fillId="2" borderId="0" xfId="1" applyNumberFormat="1" applyFont="1" applyFill="1" applyAlignment="1" applyProtection="1">
      <alignment horizontal="right"/>
      <protection locked="0"/>
    </xf>
    <xf numFmtId="2" fontId="11" fillId="2" borderId="0" xfId="1" applyNumberFormat="1" applyFont="1" applyFill="1"/>
    <xf numFmtId="164" fontId="2" fillId="3" borderId="0" xfId="1" applyFont="1" applyFill="1"/>
    <xf numFmtId="0" fontId="3" fillId="2" borderId="0" xfId="0" quotePrefix="1" applyFont="1" applyFill="1"/>
    <xf numFmtId="164" fontId="3" fillId="0" borderId="0" xfId="1" applyFont="1"/>
    <xf numFmtId="2" fontId="7" fillId="2" borderId="0" xfId="1" applyNumberFormat="1" applyFont="1" applyFill="1" applyAlignment="1" applyProtection="1">
      <alignment horizontal="right"/>
      <protection locked="0"/>
    </xf>
    <xf numFmtId="164" fontId="2" fillId="0" borderId="0" xfId="2" applyFont="1"/>
    <xf numFmtId="165" fontId="2" fillId="0" borderId="0" xfId="1" applyNumberFormat="1" applyFont="1"/>
    <xf numFmtId="1" fontId="7" fillId="2" borderId="0" xfId="1" applyNumberFormat="1" applyFont="1" applyFill="1" applyAlignment="1" applyProtection="1">
      <alignment horizontal="right"/>
      <protection locked="0"/>
    </xf>
    <xf numFmtId="164" fontId="11" fillId="2" borderId="0" xfId="1" applyFont="1" applyFill="1"/>
    <xf numFmtId="164" fontId="12" fillId="0" borderId="0" xfId="1" applyFont="1"/>
    <xf numFmtId="164" fontId="12" fillId="0" borderId="0" xfId="1" applyFont="1" applyAlignment="1" applyProtection="1">
      <alignment horizontal="left"/>
    </xf>
    <xf numFmtId="165" fontId="13" fillId="0" borderId="0" xfId="1" applyNumberFormat="1" applyFont="1" applyProtection="1">
      <protection locked="0"/>
    </xf>
    <xf numFmtId="0" fontId="12" fillId="2" borderId="0" xfId="0" applyFont="1" applyFill="1"/>
    <xf numFmtId="164" fontId="11" fillId="2" borderId="0" xfId="1" applyFont="1" applyFill="1" applyAlignment="1" applyProtection="1">
      <alignment horizontal="left"/>
    </xf>
    <xf numFmtId="164" fontId="4" fillId="0" borderId="0" xfId="1" applyFont="1" applyAlignment="1" applyProtection="1">
      <alignment horizontal="left"/>
      <protection locked="0"/>
    </xf>
    <xf numFmtId="164" fontId="2" fillId="0" borderId="0" xfId="1" applyFont="1" applyAlignment="1" applyProtection="1">
      <alignment horizontal="right"/>
    </xf>
    <xf numFmtId="164" fontId="3" fillId="0" borderId="0" xfId="1" applyFont="1" applyAlignment="1" applyProtection="1">
      <alignment horizontal="left"/>
    </xf>
    <xf numFmtId="164" fontId="14" fillId="0" borderId="0" xfId="1" applyFont="1" applyAlignment="1" applyProtection="1">
      <alignment horizontal="left"/>
    </xf>
    <xf numFmtId="164" fontId="4" fillId="0" borderId="0" xfId="1" applyNumberFormat="1" applyFont="1" applyAlignment="1" applyProtection="1">
      <alignment horizontal="left"/>
      <protection locked="0"/>
    </xf>
    <xf numFmtId="164" fontId="2" fillId="0" borderId="0" xfId="1" applyFont="1" applyAlignment="1" applyProtection="1">
      <alignment horizontal="fill"/>
    </xf>
    <xf numFmtId="165" fontId="3" fillId="2" borderId="4" xfId="1" applyNumberFormat="1" applyFont="1" applyFill="1" applyBorder="1" applyAlignment="1" applyProtection="1">
      <alignment horizontal="center"/>
      <protection locked="0"/>
    </xf>
    <xf numFmtId="1" fontId="7" fillId="2" borderId="0" xfId="1" applyNumberFormat="1" applyFont="1" applyFill="1" applyProtection="1">
      <protection locked="0"/>
    </xf>
    <xf numFmtId="164" fontId="10" fillId="0" borderId="0" xfId="1" applyFont="1" applyProtection="1">
      <protection locked="0"/>
    </xf>
    <xf numFmtId="167" fontId="10" fillId="2" borderId="0" xfId="1" applyNumberFormat="1" applyFont="1" applyFill="1" applyProtection="1">
      <protection locked="0"/>
    </xf>
    <xf numFmtId="167" fontId="10" fillId="2" borderId="2" xfId="1" applyNumberFormat="1" applyFont="1" applyFill="1" applyBorder="1" applyProtection="1">
      <protection locked="0"/>
    </xf>
    <xf numFmtId="165" fontId="2" fillId="0" borderId="0" xfId="1" applyNumberFormat="1" applyFont="1" applyProtection="1">
      <protection locked="0"/>
    </xf>
    <xf numFmtId="164" fontId="2" fillId="0" borderId="0" xfId="1" applyFont="1" applyProtection="1">
      <protection locked="0"/>
    </xf>
    <xf numFmtId="164" fontId="3" fillId="2" borderId="0" xfId="1" applyFont="1" applyFill="1" applyAlignment="1" applyProtection="1">
      <alignment horizontal="left"/>
      <protection locked="0"/>
    </xf>
    <xf numFmtId="3" fontId="3" fillId="2" borderId="0" xfId="1" applyNumberFormat="1" applyFont="1" applyFill="1" applyProtection="1">
      <protection locked="0"/>
    </xf>
    <xf numFmtId="164" fontId="3" fillId="2" borderId="0" xfId="1" applyFont="1" applyFill="1" applyProtection="1">
      <protection locked="0"/>
    </xf>
    <xf numFmtId="164" fontId="3" fillId="2" borderId="7" xfId="1" applyFont="1" applyFill="1" applyBorder="1" applyAlignment="1" applyProtection="1">
      <alignment horizontal="left"/>
      <protection locked="0"/>
    </xf>
    <xf numFmtId="3" fontId="3" fillId="2" borderId="7" xfId="1" applyNumberFormat="1" applyFont="1" applyFill="1" applyBorder="1" applyProtection="1">
      <protection locked="0"/>
    </xf>
    <xf numFmtId="164" fontId="3" fillId="2" borderId="7" xfId="1" applyFont="1" applyFill="1" applyBorder="1" applyProtection="1">
      <protection locked="0"/>
    </xf>
    <xf numFmtId="4" fontId="3" fillId="2" borderId="7" xfId="1" applyNumberFormat="1" applyFont="1" applyFill="1" applyBorder="1" applyProtection="1">
      <protection locked="0"/>
    </xf>
  </cellXfs>
  <cellStyles count="4">
    <cellStyle name="Normal" xfId="0" builtinId="0"/>
    <cellStyle name="Normal_FLSTKGZL2000-2001" xfId="1"/>
    <cellStyle name="Normal_FLSTKGZMFESCUE2000blackbelt111300" xfId="2"/>
    <cellStyle name="Normal_FLSTKLIT2000-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495300</xdr:colOff>
      <xdr:row>1</xdr:row>
      <xdr:rowOff>100278</xdr:rowOff>
    </xdr:from>
    <xdr:ext cx="5778500" cy="213300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262203"/>
          <a:ext cx="5778500" cy="213300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.auburn.edu/Documents%20and%20Settings/User/My%20Documents/Davis,%20MA/Buds2002/FalForage02/fal%20forage%202002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revajw/Desktop/Fall%20Forage%20Budget%202009-2010%20%2007%2029%2009%20%20%20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Est02"/>
      <sheetName val="FesGrz02"/>
      <sheetName val="StkPilFes02"/>
      <sheetName val="FesHay02"/>
      <sheetName val="OverSdPP02"/>
      <sheetName val="WAPG02"/>
      <sheetName val="WHET02"/>
      <sheetName val="WHTSIL02"/>
      <sheetName val="Data Request"/>
      <sheetName val="Sheet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Estab09"/>
      <sheetName val="FesGrz09"/>
      <sheetName val="StkPilFes09"/>
      <sheetName val="FesHay09"/>
      <sheetName val="OverSdPP09"/>
      <sheetName val="WAPG09"/>
      <sheetName val="WHET09"/>
      <sheetName val="ForageMach09  PRT"/>
      <sheetName val="Sheet4"/>
      <sheetName val="Data Request 2009"/>
      <sheetName val="Data Request 2008"/>
      <sheetName val="WHTSIL07"/>
      <sheetName val="Data Request 2007"/>
      <sheetName val="Data Request 2006"/>
      <sheetName val="Data Request 2005"/>
      <sheetName val="Data Request 2004"/>
      <sheetName val="Shee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autoPageBreaks="0"/>
  </sheetPr>
  <dimension ref="A1:IV170"/>
  <sheetViews>
    <sheetView showGridLines="0" tabSelected="1" zoomScale="85" zoomScaleNormal="85" workbookViewId="0">
      <selection activeCell="F36" sqref="F36"/>
    </sheetView>
  </sheetViews>
  <sheetFormatPr defaultColWidth="11.7109375" defaultRowHeight="12.75" x14ac:dyDescent="0.2"/>
  <cols>
    <col min="1" max="1" width="9" style="1" customWidth="1"/>
    <col min="2" max="2" width="22.7109375" style="1" customWidth="1"/>
    <col min="3" max="3" width="13.5703125" style="1" customWidth="1"/>
    <col min="4" max="4" width="17.85546875" style="1" customWidth="1"/>
    <col min="5" max="5" width="18.140625" style="1" customWidth="1"/>
    <col min="6" max="6" width="29.85546875" style="1" customWidth="1"/>
    <col min="7" max="7" width="13.85546875" style="1" customWidth="1"/>
    <col min="8" max="8" width="16.5703125" style="1" customWidth="1"/>
    <col min="9" max="9" width="16" style="2" customWidth="1"/>
    <col min="10" max="10" width="7.7109375" style="1" customWidth="1"/>
    <col min="11" max="11" width="8.7109375" style="1" customWidth="1"/>
    <col min="12" max="12" width="9.28515625" style="1" customWidth="1"/>
    <col min="13" max="13" width="8.140625" style="1" customWidth="1"/>
    <col min="14" max="14" width="8.7109375" style="1" customWidth="1"/>
    <col min="15" max="15" width="7.5703125" style="1" customWidth="1"/>
    <col min="16" max="20" width="9.85546875" style="1" customWidth="1"/>
    <col min="21" max="21" width="12.140625" style="1" customWidth="1"/>
    <col min="22" max="22" width="8.7109375" style="1" customWidth="1"/>
    <col min="23" max="26" width="11.7109375" style="1" customWidth="1"/>
    <col min="27" max="27" width="12.140625" style="1" customWidth="1"/>
    <col min="28" max="16384" width="11.7109375" style="1"/>
  </cols>
  <sheetData>
    <row r="1" spans="1:13" x14ac:dyDescent="0.2">
      <c r="A1" s="124"/>
      <c r="B1" s="128"/>
      <c r="L1" s="42"/>
      <c r="M1" s="42"/>
    </row>
    <row r="2" spans="1:13" x14ac:dyDescent="0.2">
      <c r="A2" s="124"/>
    </row>
    <row r="3" spans="1:13" x14ac:dyDescent="0.2">
      <c r="A3" s="124"/>
      <c r="B3" s="128"/>
      <c r="L3" s="42"/>
      <c r="M3" s="42"/>
    </row>
    <row r="4" spans="1:13" ht="15" x14ac:dyDescent="0.2">
      <c r="A4" s="124"/>
      <c r="B4" s="123"/>
      <c r="C4" s="112"/>
      <c r="D4" s="112"/>
      <c r="E4" s="112"/>
      <c r="F4" s="112"/>
      <c r="L4" s="42" t="s">
        <v>129</v>
      </c>
      <c r="M4" s="42"/>
    </row>
    <row r="5" spans="1:13" ht="15" x14ac:dyDescent="0.2">
      <c r="A5" s="124"/>
      <c r="B5" s="123"/>
      <c r="C5" s="112"/>
      <c r="D5" s="112"/>
      <c r="E5" s="112"/>
      <c r="F5" s="112"/>
      <c r="L5" s="42" t="s">
        <v>128</v>
      </c>
      <c r="M5" s="42"/>
    </row>
    <row r="6" spans="1:13" ht="15" x14ac:dyDescent="0.2">
      <c r="A6" s="124"/>
      <c r="B6" s="123"/>
      <c r="C6" s="112"/>
      <c r="D6" s="112"/>
      <c r="E6" s="112"/>
      <c r="F6" s="112"/>
      <c r="M6" s="42"/>
    </row>
    <row r="7" spans="1:13" ht="15" x14ac:dyDescent="0.2">
      <c r="A7" s="124"/>
      <c r="B7" s="123"/>
      <c r="C7" s="112"/>
      <c r="D7" s="112"/>
      <c r="E7" s="112"/>
      <c r="F7" s="112"/>
    </row>
    <row r="8" spans="1:13" ht="15" x14ac:dyDescent="0.2">
      <c r="A8" s="124"/>
      <c r="B8" s="123"/>
      <c r="C8" s="112"/>
      <c r="D8" s="112"/>
      <c r="E8" s="112"/>
      <c r="F8" s="112"/>
      <c r="M8" s="42"/>
    </row>
    <row r="9" spans="1:13" ht="15" x14ac:dyDescent="0.2">
      <c r="A9" s="124"/>
      <c r="B9" s="123"/>
      <c r="C9" s="112"/>
      <c r="D9" s="112"/>
      <c r="E9" s="112"/>
      <c r="F9" s="112"/>
    </row>
    <row r="10" spans="1:13" ht="15" x14ac:dyDescent="0.2">
      <c r="A10" s="124"/>
      <c r="B10" s="123"/>
      <c r="C10" s="112"/>
      <c r="D10" s="112"/>
      <c r="E10" s="112"/>
      <c r="F10" s="112"/>
      <c r="M10" s="42"/>
    </row>
    <row r="11" spans="1:13" ht="15" x14ac:dyDescent="0.2">
      <c r="A11" s="124"/>
      <c r="B11" s="123"/>
      <c r="C11" s="112"/>
      <c r="D11" s="112"/>
      <c r="E11" s="112"/>
      <c r="F11" s="127"/>
    </row>
    <row r="12" spans="1:13" ht="15" x14ac:dyDescent="0.2">
      <c r="A12" s="124"/>
      <c r="C12" s="112"/>
      <c r="D12" s="112"/>
      <c r="E12" s="112"/>
      <c r="F12" s="112"/>
      <c r="M12" s="42"/>
    </row>
    <row r="13" spans="1:13" ht="15" x14ac:dyDescent="0.2">
      <c r="A13" s="124"/>
      <c r="B13" s="123"/>
      <c r="C13" s="112"/>
      <c r="D13" s="112"/>
      <c r="E13" s="112"/>
      <c r="F13" s="112"/>
      <c r="M13" s="42"/>
    </row>
    <row r="14" spans="1:13" ht="33.75" x14ac:dyDescent="0.5">
      <c r="A14" s="124"/>
      <c r="B14" s="126" t="s">
        <v>127</v>
      </c>
      <c r="C14" s="112"/>
      <c r="D14" s="112"/>
      <c r="E14" s="112"/>
      <c r="F14" s="112"/>
      <c r="M14" s="42"/>
    </row>
    <row r="15" spans="1:13" ht="15" x14ac:dyDescent="0.2">
      <c r="A15" s="124"/>
      <c r="B15" s="123" t="s">
        <v>126</v>
      </c>
      <c r="C15" s="112"/>
      <c r="D15" s="112"/>
      <c r="E15" s="112"/>
      <c r="F15" s="112"/>
    </row>
    <row r="16" spans="1:13" ht="15" x14ac:dyDescent="0.2">
      <c r="A16" s="124"/>
      <c r="B16" s="125"/>
      <c r="C16" s="112"/>
      <c r="D16" s="112"/>
      <c r="E16" s="112"/>
      <c r="F16" s="112"/>
    </row>
    <row r="17" spans="1:18" ht="15" x14ac:dyDescent="0.2">
      <c r="A17" s="124"/>
      <c r="B17" s="123" t="s">
        <v>125</v>
      </c>
      <c r="M17" s="42"/>
    </row>
    <row r="18" spans="1:18" s="118" customFormat="1" ht="15.75" x14ac:dyDescent="0.25">
      <c r="A18" s="49">
        <v>65</v>
      </c>
      <c r="B18" s="122" t="s">
        <v>124</v>
      </c>
      <c r="C18" s="117"/>
      <c r="D18" s="117"/>
      <c r="E18" s="117"/>
      <c r="F18" s="117"/>
      <c r="G18" s="117"/>
      <c r="H18" s="117"/>
      <c r="I18" s="121"/>
      <c r="J18" s="120"/>
      <c r="M18" s="119"/>
    </row>
    <row r="19" spans="1:18" ht="15.75" x14ac:dyDescent="0.25">
      <c r="A19" s="117"/>
      <c r="B19" s="31" t="s">
        <v>123</v>
      </c>
      <c r="C19" s="5"/>
      <c r="D19" s="5"/>
      <c r="E19" s="5"/>
      <c r="F19" s="5"/>
      <c r="G19" s="5"/>
      <c r="H19" s="5"/>
      <c r="I19" s="3"/>
      <c r="K19" s="1" t="s">
        <v>122</v>
      </c>
      <c r="M19" s="42"/>
    </row>
    <row r="20" spans="1:18" ht="15.75" x14ac:dyDescent="0.25">
      <c r="A20" s="116">
        <v>350</v>
      </c>
      <c r="B20" s="31" t="s">
        <v>121</v>
      </c>
      <c r="C20" s="108">
        <v>200</v>
      </c>
      <c r="D20" s="31" t="s">
        <v>120</v>
      </c>
      <c r="E20" s="5"/>
      <c r="F20" s="5"/>
      <c r="G20" s="5"/>
      <c r="H20" s="5"/>
      <c r="I20" s="3"/>
      <c r="K20" s="115">
        <f>E32*C32</f>
        <v>463.04999999999995</v>
      </c>
      <c r="L20" s="114" t="s">
        <v>119</v>
      </c>
      <c r="M20" s="1" t="s">
        <v>118</v>
      </c>
    </row>
    <row r="21" spans="1:18" ht="15.75" x14ac:dyDescent="0.25">
      <c r="A21" s="113">
        <v>2</v>
      </c>
      <c r="B21" s="31" t="s">
        <v>117</v>
      </c>
      <c r="C21" s="131">
        <v>14</v>
      </c>
      <c r="D21" s="112" t="s">
        <v>116</v>
      </c>
      <c r="E21" s="5"/>
      <c r="F21" s="5"/>
      <c r="G21" s="107" t="s">
        <v>109</v>
      </c>
      <c r="H21" s="5" t="s">
        <v>115</v>
      </c>
      <c r="I21" s="3"/>
      <c r="M21" s="42"/>
    </row>
    <row r="22" spans="1:18" ht="15.75" x14ac:dyDescent="0.25">
      <c r="A22" s="130">
        <v>675</v>
      </c>
      <c r="B22" s="31" t="s">
        <v>114</v>
      </c>
      <c r="C22" s="108">
        <v>45</v>
      </c>
      <c r="D22" s="5" t="s">
        <v>113</v>
      </c>
      <c r="E22" s="5"/>
      <c r="F22" s="5"/>
      <c r="G22" s="107"/>
      <c r="H22" s="132">
        <v>143</v>
      </c>
      <c r="I22" s="111" t="s">
        <v>104</v>
      </c>
      <c r="K22" s="110" t="s">
        <v>112</v>
      </c>
      <c r="L22" s="110"/>
      <c r="M22" s="110"/>
      <c r="N22" s="110"/>
      <c r="O22" s="110"/>
      <c r="P22" s="110"/>
      <c r="Q22" s="110"/>
      <c r="R22" s="110"/>
    </row>
    <row r="23" spans="1:18" ht="15.75" x14ac:dyDescent="0.25">
      <c r="A23" s="109">
        <f>K25</f>
        <v>1.9285714285714286</v>
      </c>
      <c r="B23" s="31" t="s">
        <v>111</v>
      </c>
      <c r="C23" s="108">
        <v>30</v>
      </c>
      <c r="D23" s="31" t="s">
        <v>110</v>
      </c>
      <c r="E23" s="5"/>
      <c r="F23" s="5"/>
      <c r="G23" s="107" t="s">
        <v>109</v>
      </c>
      <c r="H23" s="5" t="s">
        <v>108</v>
      </c>
      <c r="I23" s="106"/>
      <c r="K23" s="1">
        <f>A22</f>
        <v>675</v>
      </c>
      <c r="L23" s="1" t="s">
        <v>107</v>
      </c>
    </row>
    <row r="24" spans="1:18" ht="15.75" x14ac:dyDescent="0.25">
      <c r="A24" s="105">
        <v>3</v>
      </c>
      <c r="B24" s="103" t="s">
        <v>106</v>
      </c>
      <c r="C24" s="104">
        <f>TRUNC(0.5+(A20+(C20*A21))*0.98)</f>
        <v>735</v>
      </c>
      <c r="D24" s="103" t="s">
        <v>105</v>
      </c>
      <c r="E24" s="13"/>
      <c r="F24" s="13"/>
      <c r="G24" s="13"/>
      <c r="H24" s="133">
        <v>-10</v>
      </c>
      <c r="I24" s="102" t="s">
        <v>104</v>
      </c>
      <c r="K24" s="1">
        <f>A20</f>
        <v>350</v>
      </c>
      <c r="L24" s="1" t="s">
        <v>103</v>
      </c>
    </row>
    <row r="25" spans="1:18" ht="15" x14ac:dyDescent="0.2">
      <c r="A25" s="40"/>
      <c r="B25" s="5"/>
      <c r="C25" s="5"/>
      <c r="D25" s="5"/>
      <c r="E25" s="5"/>
      <c r="F25" s="5"/>
      <c r="G25" s="5"/>
      <c r="H25" s="5"/>
      <c r="I25" s="3"/>
      <c r="J25" s="50" t="s">
        <v>26</v>
      </c>
      <c r="K25" s="1">
        <f>K23/K24</f>
        <v>1.9285714285714286</v>
      </c>
      <c r="L25" s="1" t="s">
        <v>102</v>
      </c>
    </row>
    <row r="26" spans="1:18" ht="15.75" x14ac:dyDescent="0.25">
      <c r="A26" s="101" t="s">
        <v>101</v>
      </c>
      <c r="B26" s="13"/>
      <c r="C26" s="13"/>
      <c r="D26" s="13"/>
      <c r="E26" s="13"/>
      <c r="F26" s="13"/>
      <c r="G26" s="13"/>
      <c r="H26" s="13"/>
      <c r="I26" s="3"/>
      <c r="J26" s="50" t="s">
        <v>26</v>
      </c>
      <c r="K26" s="100">
        <f>K25</f>
        <v>1.9285714285714286</v>
      </c>
      <c r="L26" s="1" t="s">
        <v>100</v>
      </c>
      <c r="M26" s="50"/>
    </row>
    <row r="27" spans="1:18" ht="15" x14ac:dyDescent="0.2">
      <c r="A27" s="5"/>
      <c r="B27" s="5"/>
      <c r="C27" s="99" t="s">
        <v>99</v>
      </c>
      <c r="D27" s="31" t="s">
        <v>98</v>
      </c>
      <c r="E27" s="99" t="s">
        <v>97</v>
      </c>
      <c r="F27" s="99" t="s">
        <v>96</v>
      </c>
      <c r="G27" s="20" t="s">
        <v>19</v>
      </c>
      <c r="H27" s="98" t="s">
        <v>95</v>
      </c>
      <c r="I27" s="97" t="s">
        <v>94</v>
      </c>
      <c r="J27" s="50" t="s">
        <v>26</v>
      </c>
      <c r="M27" s="50"/>
    </row>
    <row r="28" spans="1:18" ht="15" x14ac:dyDescent="0.2">
      <c r="A28" s="13"/>
      <c r="B28" s="44" t="s">
        <v>41</v>
      </c>
      <c r="C28" s="96"/>
      <c r="D28" s="13"/>
      <c r="E28" s="13"/>
      <c r="F28" s="96" t="s">
        <v>93</v>
      </c>
      <c r="G28" s="44" t="s">
        <v>92</v>
      </c>
      <c r="H28" s="95" t="s">
        <v>91</v>
      </c>
      <c r="I28" s="94" t="s">
        <v>19</v>
      </c>
      <c r="J28" s="50" t="s">
        <v>26</v>
      </c>
    </row>
    <row r="29" spans="1:18" ht="15" x14ac:dyDescent="0.2">
      <c r="A29" s="40"/>
      <c r="B29" s="5"/>
      <c r="C29" s="5"/>
      <c r="D29" s="5"/>
      <c r="E29" s="5"/>
      <c r="F29" s="5"/>
      <c r="G29" s="5"/>
      <c r="H29" s="5"/>
      <c r="I29" s="3"/>
      <c r="J29" s="50" t="s">
        <v>26</v>
      </c>
    </row>
    <row r="30" spans="1:18" ht="15" x14ac:dyDescent="0.2">
      <c r="A30" s="5"/>
      <c r="B30" s="5"/>
      <c r="C30" s="5"/>
      <c r="D30" s="5"/>
      <c r="E30" s="5"/>
      <c r="F30" s="5"/>
      <c r="G30" s="5"/>
      <c r="H30" s="5"/>
      <c r="I30" s="3"/>
      <c r="J30" s="50" t="s">
        <v>26</v>
      </c>
    </row>
    <row r="31" spans="1:18" ht="15" x14ac:dyDescent="0.2">
      <c r="A31" s="23" t="s">
        <v>90</v>
      </c>
      <c r="B31" s="5"/>
      <c r="C31" s="5"/>
      <c r="D31" s="5"/>
      <c r="E31" s="4"/>
      <c r="F31" s="4"/>
      <c r="G31" s="5"/>
      <c r="H31" s="5"/>
      <c r="I31" s="8"/>
      <c r="J31" s="50" t="s">
        <v>26</v>
      </c>
      <c r="L31" s="42"/>
      <c r="M31" s="42"/>
    </row>
    <row r="32" spans="1:18" ht="15" x14ac:dyDescent="0.2">
      <c r="A32" s="31" t="s">
        <v>89</v>
      </c>
      <c r="B32" s="5"/>
      <c r="C32" s="33">
        <f>TRUNC(0.5+(A18*(1-(A24/100))))</f>
        <v>63</v>
      </c>
      <c r="D32" s="31" t="s">
        <v>84</v>
      </c>
      <c r="E32" s="93">
        <f>C24/100</f>
        <v>7.35</v>
      </c>
      <c r="F32" s="85">
        <f>H22+H24</f>
        <v>133</v>
      </c>
      <c r="G32" s="33">
        <f>E32*F32*C32</f>
        <v>61585.649999999994</v>
      </c>
      <c r="H32" s="68">
        <f>G32/C32</f>
        <v>977.55</v>
      </c>
      <c r="I32" s="70">
        <v>1</v>
      </c>
      <c r="J32" s="50" t="s">
        <v>26</v>
      </c>
      <c r="M32" s="42"/>
    </row>
    <row r="33" spans="1:13" ht="15" x14ac:dyDescent="0.2">
      <c r="A33" s="5"/>
      <c r="B33" s="5"/>
      <c r="C33" s="5"/>
      <c r="D33" s="92"/>
      <c r="E33" s="59" t="s">
        <v>26</v>
      </c>
      <c r="F33" s="59" t="s">
        <v>88</v>
      </c>
      <c r="G33" s="59" t="s">
        <v>26</v>
      </c>
      <c r="H33" s="68"/>
      <c r="I33" s="91"/>
      <c r="J33" s="50" t="s">
        <v>26</v>
      </c>
    </row>
    <row r="34" spans="1:13" ht="15" x14ac:dyDescent="0.2">
      <c r="A34" s="23" t="s">
        <v>87</v>
      </c>
      <c r="B34" s="5"/>
      <c r="C34" s="5"/>
      <c r="D34" s="92"/>
      <c r="E34" s="59" t="s">
        <v>26</v>
      </c>
      <c r="F34" s="59" t="s">
        <v>26</v>
      </c>
      <c r="G34" s="59" t="s">
        <v>26</v>
      </c>
      <c r="H34" s="68"/>
      <c r="I34" s="91"/>
      <c r="J34" s="50" t="s">
        <v>26</v>
      </c>
    </row>
    <row r="35" spans="1:13" ht="15" x14ac:dyDescent="0.2">
      <c r="A35" s="31" t="s">
        <v>86</v>
      </c>
      <c r="B35" s="5"/>
      <c r="C35" s="90">
        <f>A18</f>
        <v>65</v>
      </c>
      <c r="D35" s="31" t="s">
        <v>84</v>
      </c>
      <c r="E35" s="33">
        <f>A20/100</f>
        <v>3.5</v>
      </c>
      <c r="F35" s="38">
        <v>175</v>
      </c>
      <c r="G35" s="33">
        <f>C35*F35*E35</f>
        <v>39812.5</v>
      </c>
      <c r="H35" s="68">
        <f t="shared" ref="H35:H48" si="0">G35/$C$32</f>
        <v>631.94444444444446</v>
      </c>
      <c r="I35" s="70">
        <f t="shared" ref="I35:I48" si="1">G35/$G$63</f>
        <v>0.67963034588082138</v>
      </c>
      <c r="J35" s="50" t="s">
        <v>26</v>
      </c>
    </row>
    <row r="36" spans="1:13" ht="15" x14ac:dyDescent="0.2">
      <c r="A36" s="31" t="s">
        <v>64</v>
      </c>
      <c r="B36" s="5"/>
      <c r="C36" s="5"/>
      <c r="D36" s="31" t="s">
        <v>63</v>
      </c>
      <c r="E36" s="33">
        <f>TRUNC(0.5+(A18/K26))</f>
        <v>34</v>
      </c>
      <c r="F36" s="38">
        <v>143</v>
      </c>
      <c r="G36" s="33">
        <f t="shared" ref="G36:G46" si="2">F36*E36</f>
        <v>4862</v>
      </c>
      <c r="H36" s="68">
        <f t="shared" si="0"/>
        <v>77.174603174603178</v>
      </c>
      <c r="I36" s="70">
        <f t="shared" si="1"/>
        <v>8.2998122239812969E-2</v>
      </c>
      <c r="J36" s="50" t="s">
        <v>26</v>
      </c>
      <c r="M36" s="42"/>
    </row>
    <row r="37" spans="1:13" ht="15" x14ac:dyDescent="0.2">
      <c r="A37" s="31" t="s">
        <v>85</v>
      </c>
      <c r="B37" s="5"/>
      <c r="C37" s="5"/>
      <c r="D37" s="31" t="s">
        <v>84</v>
      </c>
      <c r="E37" s="33">
        <f>3*C20*A18/16/100</f>
        <v>24.375</v>
      </c>
      <c r="F37" s="38">
        <v>30</v>
      </c>
      <c r="G37" s="33">
        <f t="shared" si="2"/>
        <v>731.25</v>
      </c>
      <c r="H37" s="68">
        <f t="shared" si="0"/>
        <v>11.607142857142858</v>
      </c>
      <c r="I37" s="70">
        <f t="shared" si="1"/>
        <v>1.2483006352913047E-2</v>
      </c>
      <c r="J37" s="50" t="s">
        <v>26</v>
      </c>
    </row>
    <row r="38" spans="1:13" ht="15" x14ac:dyDescent="0.2">
      <c r="A38" s="31" t="s">
        <v>83</v>
      </c>
      <c r="B38" s="5"/>
      <c r="C38" s="5"/>
      <c r="D38" s="31" t="s">
        <v>78</v>
      </c>
      <c r="E38" s="33">
        <f>IF(A20&lt;450,(C23*A18*8)/2000,(C23*A18*10)/2000)</f>
        <v>7.8</v>
      </c>
      <c r="F38" s="38">
        <v>100</v>
      </c>
      <c r="G38" s="33">
        <f t="shared" si="2"/>
        <v>780</v>
      </c>
      <c r="H38" s="68">
        <f t="shared" si="0"/>
        <v>12.380952380952381</v>
      </c>
      <c r="I38" s="70">
        <f t="shared" si="1"/>
        <v>1.3315206776440583E-2</v>
      </c>
      <c r="J38" s="50" t="s">
        <v>26</v>
      </c>
    </row>
    <row r="39" spans="1:13" ht="15" x14ac:dyDescent="0.2">
      <c r="A39" s="31" t="s">
        <v>82</v>
      </c>
      <c r="B39" s="5"/>
      <c r="C39" s="5"/>
      <c r="D39" s="31" t="s">
        <v>72</v>
      </c>
      <c r="E39" s="33">
        <f>A18</f>
        <v>65</v>
      </c>
      <c r="F39" s="38">
        <v>23.39</v>
      </c>
      <c r="G39" s="33">
        <f t="shared" si="2"/>
        <v>1520.3500000000001</v>
      </c>
      <c r="H39" s="68">
        <f t="shared" si="0"/>
        <v>24.132539682539683</v>
      </c>
      <c r="I39" s="70">
        <f t="shared" si="1"/>
        <v>2.5953557208412106E-2</v>
      </c>
      <c r="J39" s="50" t="s">
        <v>26</v>
      </c>
    </row>
    <row r="40" spans="1:13" ht="15" x14ac:dyDescent="0.2">
      <c r="A40" s="31" t="s">
        <v>81</v>
      </c>
      <c r="B40" s="5"/>
      <c r="C40" s="5"/>
      <c r="D40" s="31" t="s">
        <v>78</v>
      </c>
      <c r="E40" s="33">
        <f>(5*C21*A18)/2000</f>
        <v>2.2749999999999999</v>
      </c>
      <c r="F40" s="38">
        <v>250</v>
      </c>
      <c r="G40" s="33">
        <f t="shared" si="2"/>
        <v>568.75</v>
      </c>
      <c r="H40" s="68">
        <f t="shared" si="0"/>
        <v>9.0277777777777786</v>
      </c>
      <c r="I40" s="70">
        <f t="shared" si="1"/>
        <v>9.709004941154592E-3</v>
      </c>
      <c r="J40" s="50" t="s">
        <v>26</v>
      </c>
    </row>
    <row r="41" spans="1:13" ht="15" x14ac:dyDescent="0.2">
      <c r="A41" s="31" t="s">
        <v>80</v>
      </c>
      <c r="B41" s="5"/>
      <c r="C41" s="5"/>
      <c r="D41" s="89" t="s">
        <v>78</v>
      </c>
      <c r="E41" s="33">
        <f>(5*C22*A18)/2000</f>
        <v>7.3125</v>
      </c>
      <c r="F41" s="38">
        <v>175</v>
      </c>
      <c r="G41" s="33">
        <f t="shared" si="2"/>
        <v>1279.6875</v>
      </c>
      <c r="H41" s="68">
        <f t="shared" si="0"/>
        <v>20.3125</v>
      </c>
      <c r="I41" s="70">
        <f t="shared" si="1"/>
        <v>2.1845261117597832E-2</v>
      </c>
      <c r="J41" s="50"/>
    </row>
    <row r="42" spans="1:13" ht="15" x14ac:dyDescent="0.2">
      <c r="A42" s="31" t="s">
        <v>79</v>
      </c>
      <c r="B42" s="5"/>
      <c r="C42" s="5"/>
      <c r="D42" s="89" t="s">
        <v>78</v>
      </c>
      <c r="E42" s="33">
        <f>IF(A20&lt;450,(C23*4*A18)/2000,(C23*5*A18)/2000)</f>
        <v>3.9</v>
      </c>
      <c r="F42" s="38">
        <v>175</v>
      </c>
      <c r="G42" s="33">
        <f t="shared" si="2"/>
        <v>682.5</v>
      </c>
      <c r="H42" s="68">
        <f t="shared" si="0"/>
        <v>10.833333333333334</v>
      </c>
      <c r="I42" s="70">
        <f t="shared" si="1"/>
        <v>1.165080592938551E-2</v>
      </c>
      <c r="J42" s="50" t="s">
        <v>26</v>
      </c>
    </row>
    <row r="43" spans="1:13" ht="15" x14ac:dyDescent="0.2">
      <c r="A43" s="31" t="s">
        <v>77</v>
      </c>
      <c r="B43" s="5"/>
      <c r="C43" s="88" t="s">
        <v>26</v>
      </c>
      <c r="D43" s="31" t="s">
        <v>76</v>
      </c>
      <c r="E43" s="85">
        <f>4*A18</f>
        <v>260</v>
      </c>
      <c r="F43" s="38">
        <v>12.5</v>
      </c>
      <c r="G43" s="33">
        <f t="shared" si="2"/>
        <v>3250</v>
      </c>
      <c r="H43" s="68">
        <f t="shared" si="0"/>
        <v>51.587301587301589</v>
      </c>
      <c r="I43" s="70">
        <f t="shared" si="1"/>
        <v>5.5480028235169093E-2</v>
      </c>
      <c r="J43" s="50" t="s">
        <v>26</v>
      </c>
    </row>
    <row r="44" spans="1:13" ht="15" x14ac:dyDescent="0.2">
      <c r="A44" s="31" t="s">
        <v>75</v>
      </c>
      <c r="B44" s="5"/>
      <c r="C44" s="88" t="s">
        <v>26</v>
      </c>
      <c r="D44" s="31" t="s">
        <v>63</v>
      </c>
      <c r="E44" s="85">
        <f>E36</f>
        <v>34</v>
      </c>
      <c r="F44" s="38">
        <v>22</v>
      </c>
      <c r="G44" s="33">
        <f t="shared" si="2"/>
        <v>748</v>
      </c>
      <c r="H44" s="68">
        <f t="shared" si="0"/>
        <v>11.873015873015873</v>
      </c>
      <c r="I44" s="70">
        <f t="shared" si="1"/>
        <v>1.2768941883048149E-2</v>
      </c>
      <c r="J44" s="50" t="s">
        <v>26</v>
      </c>
    </row>
    <row r="45" spans="1:13" ht="15" x14ac:dyDescent="0.2">
      <c r="A45" s="87" t="s">
        <v>74</v>
      </c>
      <c r="B45" s="5"/>
      <c r="C45" s="5"/>
      <c r="D45" s="31" t="s">
        <v>72</v>
      </c>
      <c r="E45" s="33">
        <f>C32</f>
        <v>63</v>
      </c>
      <c r="F45" s="38">
        <f>0.02*H32</f>
        <v>19.550999999999998</v>
      </c>
      <c r="G45" s="33">
        <f t="shared" si="2"/>
        <v>1231.713</v>
      </c>
      <c r="H45" s="68">
        <f t="shared" si="0"/>
        <v>19.550999999999998</v>
      </c>
      <c r="I45" s="70">
        <f t="shared" si="1"/>
        <v>2.10262990823461E-2</v>
      </c>
      <c r="J45" s="50" t="s">
        <v>26</v>
      </c>
    </row>
    <row r="46" spans="1:13" ht="15" x14ac:dyDescent="0.2">
      <c r="A46" s="86" t="s">
        <v>73</v>
      </c>
      <c r="B46" s="5"/>
      <c r="C46" s="5"/>
      <c r="D46" s="31" t="s">
        <v>72</v>
      </c>
      <c r="E46" s="33">
        <f>+C32</f>
        <v>63</v>
      </c>
      <c r="F46" s="38">
        <v>2</v>
      </c>
      <c r="G46" s="33">
        <f t="shared" si="2"/>
        <v>126</v>
      </c>
      <c r="H46" s="68">
        <f t="shared" si="0"/>
        <v>2</v>
      </c>
      <c r="I46" s="70">
        <f t="shared" si="1"/>
        <v>2.1509180177327098E-3</v>
      </c>
      <c r="J46" s="50" t="s">
        <v>26</v>
      </c>
    </row>
    <row r="47" spans="1:13" ht="15" x14ac:dyDescent="0.2">
      <c r="A47" s="31" t="s">
        <v>71</v>
      </c>
      <c r="B47" s="5"/>
      <c r="C47" s="5"/>
      <c r="D47" s="31" t="s">
        <v>59</v>
      </c>
      <c r="E47" s="59" t="s">
        <v>26</v>
      </c>
      <c r="F47" s="34"/>
      <c r="G47" s="33">
        <f>L112</f>
        <v>127.15214285714286</v>
      </c>
      <c r="H47" s="68">
        <f t="shared" si="0"/>
        <v>2.0182879818594106</v>
      </c>
      <c r="I47" s="70">
        <f t="shared" si="1"/>
        <v>2.1705859925773971E-3</v>
      </c>
      <c r="J47" s="50" t="s">
        <v>26</v>
      </c>
    </row>
    <row r="48" spans="1:13" ht="15.75" thickBot="1" x14ac:dyDescent="0.25">
      <c r="A48" s="31" t="s">
        <v>70</v>
      </c>
      <c r="B48" s="5"/>
      <c r="C48" s="5"/>
      <c r="D48" s="31" t="s">
        <v>59</v>
      </c>
      <c r="E48" s="85">
        <f>((G35+G40+G41)*$C$20/365)+(G36*($C$20+30)/365)+(G39*($C$20*0.67/365))+((G37+G38+G42+G43+G44+G46+G47)*($C$20*0.5)/365)</f>
        <v>28215.51949119374</v>
      </c>
      <c r="F48" s="84">
        <v>5.5E-2</v>
      </c>
      <c r="G48" s="83">
        <f>F48*E48</f>
        <v>1551.8535720156558</v>
      </c>
      <c r="H48" s="82">
        <f t="shared" si="0"/>
        <v>24.632596381200887</v>
      </c>
      <c r="I48" s="81">
        <f t="shared" si="1"/>
        <v>2.6491347689931263E-2</v>
      </c>
      <c r="J48" s="50" t="s">
        <v>26</v>
      </c>
      <c r="K48" s="37">
        <f>G35*8/12*F48</f>
        <v>1459.7916666666667</v>
      </c>
    </row>
    <row r="49" spans="1:14" ht="15" x14ac:dyDescent="0.2">
      <c r="A49" s="5"/>
      <c r="B49" s="5"/>
      <c r="C49" s="5"/>
      <c r="D49" s="5"/>
      <c r="E49" s="59" t="s">
        <v>26</v>
      </c>
      <c r="F49" s="59" t="s">
        <v>26</v>
      </c>
      <c r="G49" s="80"/>
      <c r="H49" s="79"/>
      <c r="I49" s="70"/>
      <c r="J49" s="50" t="s">
        <v>26</v>
      </c>
      <c r="N49" s="1">
        <v>4</v>
      </c>
    </row>
    <row r="50" spans="1:14" ht="15" x14ac:dyDescent="0.2">
      <c r="A50" s="31" t="s">
        <v>69</v>
      </c>
      <c r="B50" s="5"/>
      <c r="C50" s="5"/>
      <c r="D50" s="5"/>
      <c r="E50" s="59" t="s">
        <v>26</v>
      </c>
      <c r="F50" s="59" t="s">
        <v>26</v>
      </c>
      <c r="G50" s="33">
        <f>SUM(G35:G48)</f>
        <v>57271.756214872803</v>
      </c>
      <c r="H50" s="68">
        <f>G50/$C$32</f>
        <v>909.07549547417148</v>
      </c>
      <c r="I50" s="70">
        <f>G50/$G$63</f>
        <v>0.97767343134734286</v>
      </c>
      <c r="J50" s="50" t="s">
        <v>26</v>
      </c>
    </row>
    <row r="51" spans="1:14" ht="15" x14ac:dyDescent="0.2">
      <c r="A51" s="5"/>
      <c r="B51" s="5"/>
      <c r="C51" s="5"/>
      <c r="D51" s="5"/>
      <c r="E51" s="59" t="s">
        <v>26</v>
      </c>
      <c r="F51" s="59" t="s">
        <v>26</v>
      </c>
      <c r="G51" s="59" t="s">
        <v>26</v>
      </c>
      <c r="H51" s="71"/>
      <c r="I51" s="70"/>
      <c r="J51" s="50" t="s">
        <v>26</v>
      </c>
    </row>
    <row r="52" spans="1:14" ht="15" x14ac:dyDescent="0.2">
      <c r="A52" s="78" t="s">
        <v>68</v>
      </c>
      <c r="B52" s="77"/>
      <c r="C52" s="77"/>
      <c r="D52" s="77"/>
      <c r="E52" s="75" t="s">
        <v>26</v>
      </c>
      <c r="F52" s="75" t="s">
        <v>26</v>
      </c>
      <c r="G52" s="74">
        <f>G32-G50</f>
        <v>4313.8937851271912</v>
      </c>
      <c r="H52" s="73">
        <f>G52/$C$32</f>
        <v>68.474504525828436</v>
      </c>
      <c r="I52" s="72"/>
      <c r="J52" s="50" t="s">
        <v>26</v>
      </c>
    </row>
    <row r="53" spans="1:14" ht="15" x14ac:dyDescent="0.2">
      <c r="A53" s="5"/>
      <c r="B53" s="5"/>
      <c r="C53" s="5"/>
      <c r="D53" s="5"/>
      <c r="E53" s="59" t="s">
        <v>26</v>
      </c>
      <c r="F53" s="34"/>
      <c r="G53" s="59" t="s">
        <v>26</v>
      </c>
      <c r="H53" s="71"/>
      <c r="I53" s="70"/>
      <c r="J53" s="50" t="s">
        <v>26</v>
      </c>
    </row>
    <row r="54" spans="1:14" ht="15" x14ac:dyDescent="0.2">
      <c r="A54" s="23" t="s">
        <v>67</v>
      </c>
      <c r="B54" s="5"/>
      <c r="C54" s="5"/>
      <c r="D54" s="5"/>
      <c r="E54" s="59" t="s">
        <v>26</v>
      </c>
      <c r="F54" s="34"/>
      <c r="G54" s="59" t="s">
        <v>26</v>
      </c>
      <c r="H54" s="71"/>
      <c r="I54" s="70"/>
      <c r="J54" s="50" t="s">
        <v>26</v>
      </c>
    </row>
    <row r="55" spans="1:14" ht="15" x14ac:dyDescent="0.2">
      <c r="A55" s="31" t="s">
        <v>66</v>
      </c>
      <c r="B55" s="5"/>
      <c r="C55" s="5"/>
      <c r="D55" s="20" t="s">
        <v>65</v>
      </c>
      <c r="E55" s="33">
        <f>A18</f>
        <v>65</v>
      </c>
      <c r="F55" s="38">
        <v>2.5</v>
      </c>
      <c r="G55" s="33">
        <f>F55*E55</f>
        <v>162.5</v>
      </c>
      <c r="H55" s="68">
        <f>G55/$C$32</f>
        <v>2.5793650793650795</v>
      </c>
      <c r="I55" s="70">
        <f>G55/$G$63</f>
        <v>2.7740014117584549E-3</v>
      </c>
      <c r="J55" s="50" t="s">
        <v>26</v>
      </c>
    </row>
    <row r="56" spans="1:14" ht="15" x14ac:dyDescent="0.2">
      <c r="A56" s="31" t="s">
        <v>64</v>
      </c>
      <c r="B56" s="5"/>
      <c r="C56" s="5"/>
      <c r="D56" s="31" t="s">
        <v>63</v>
      </c>
      <c r="E56" s="33">
        <f>E36</f>
        <v>34</v>
      </c>
      <c r="F56" s="38">
        <v>8.31</v>
      </c>
      <c r="G56" s="33">
        <f>F56*E56</f>
        <v>282.54000000000002</v>
      </c>
      <c r="H56" s="68">
        <f>G56/$C$32</f>
        <v>4.4847619047619052</v>
      </c>
      <c r="I56" s="70">
        <f>G56/$G$63</f>
        <v>4.8231775930968239E-3</v>
      </c>
      <c r="J56" s="50" t="s">
        <v>26</v>
      </c>
    </row>
    <row r="57" spans="1:14" ht="15" x14ac:dyDescent="0.2">
      <c r="A57" s="31" t="s">
        <v>62</v>
      </c>
      <c r="B57" s="5"/>
      <c r="C57" s="5"/>
      <c r="D57" s="31" t="s">
        <v>59</v>
      </c>
      <c r="E57" s="33">
        <f>(F112+J112)/2</f>
        <v>3778.375</v>
      </c>
      <c r="F57" s="84">
        <v>6.5000000000000002E-2</v>
      </c>
      <c r="G57" s="33">
        <f>F57*E57</f>
        <v>245.59437500000001</v>
      </c>
      <c r="H57" s="68">
        <f>G57/$C$32</f>
        <v>3.8983234126984128</v>
      </c>
      <c r="I57" s="70">
        <f>G57/$G$63</f>
        <v>4.1924870336611407E-3</v>
      </c>
      <c r="J57" s="50" t="s">
        <v>26</v>
      </c>
    </row>
    <row r="58" spans="1:14" ht="15" x14ac:dyDescent="0.2">
      <c r="A58" s="31" t="s">
        <v>61</v>
      </c>
      <c r="B58" s="5"/>
      <c r="C58" s="5"/>
      <c r="D58" s="31" t="s">
        <v>59</v>
      </c>
      <c r="E58" s="59" t="s">
        <v>26</v>
      </c>
      <c r="F58" s="59" t="s">
        <v>26</v>
      </c>
      <c r="G58" s="33">
        <f>K112</f>
        <v>567.90357142857147</v>
      </c>
      <c r="H58" s="68">
        <f>G58/$C$32</f>
        <v>9.0143424036281186</v>
      </c>
      <c r="I58" s="70">
        <f>G58/$G$63</f>
        <v>9.6945557469878506E-3</v>
      </c>
      <c r="J58" s="50" t="s">
        <v>26</v>
      </c>
    </row>
    <row r="59" spans="1:14" ht="15.75" thickBot="1" x14ac:dyDescent="0.25">
      <c r="A59" s="31" t="s">
        <v>60</v>
      </c>
      <c r="B59" s="5"/>
      <c r="C59" s="5"/>
      <c r="D59" s="31" t="s">
        <v>59</v>
      </c>
      <c r="E59" s="59" t="s">
        <v>26</v>
      </c>
      <c r="F59" s="59" t="s">
        <v>26</v>
      </c>
      <c r="G59" s="83">
        <f>M112</f>
        <v>49.344374999999999</v>
      </c>
      <c r="H59" s="82">
        <f>G59/$C$32</f>
        <v>0.78324404761904765</v>
      </c>
      <c r="I59" s="81">
        <f>G59/$G$63</f>
        <v>8.4234686715285289E-4</v>
      </c>
      <c r="J59" s="50" t="s">
        <v>26</v>
      </c>
    </row>
    <row r="60" spans="1:14" ht="15" x14ac:dyDescent="0.2">
      <c r="A60" s="5"/>
      <c r="B60" s="5"/>
      <c r="C60" s="5"/>
      <c r="D60" s="5"/>
      <c r="E60" s="59" t="s">
        <v>26</v>
      </c>
      <c r="F60" s="59" t="s">
        <v>26</v>
      </c>
      <c r="G60" s="80"/>
      <c r="H60" s="79"/>
      <c r="I60" s="70"/>
      <c r="J60" s="50" t="s">
        <v>26</v>
      </c>
    </row>
    <row r="61" spans="1:14" ht="15" x14ac:dyDescent="0.2">
      <c r="A61" s="31" t="s">
        <v>58</v>
      </c>
      <c r="B61" s="5"/>
      <c r="C61" s="5"/>
      <c r="D61" s="5"/>
      <c r="E61" s="59" t="s">
        <v>26</v>
      </c>
      <c r="F61" s="59" t="s">
        <v>26</v>
      </c>
      <c r="G61" s="33">
        <f>SUM(G55:G59)</f>
        <v>1307.8823214285715</v>
      </c>
      <c r="H61" s="68">
        <f>G61/$C$32</f>
        <v>20.760036848072563</v>
      </c>
      <c r="I61" s="70">
        <f>G61/$G$63</f>
        <v>2.2326568652657121E-2</v>
      </c>
      <c r="J61" s="50" t="s">
        <v>26</v>
      </c>
    </row>
    <row r="62" spans="1:14" ht="15" x14ac:dyDescent="0.2">
      <c r="A62" s="5"/>
      <c r="B62" s="5"/>
      <c r="C62" s="5"/>
      <c r="D62" s="5"/>
      <c r="E62" s="59" t="s">
        <v>26</v>
      </c>
      <c r="F62" s="59" t="s">
        <v>26</v>
      </c>
      <c r="G62" s="59" t="s">
        <v>26</v>
      </c>
      <c r="H62" s="71"/>
      <c r="I62" s="70"/>
      <c r="J62" s="50" t="s">
        <v>26</v>
      </c>
    </row>
    <row r="63" spans="1:14" ht="15" x14ac:dyDescent="0.2">
      <c r="A63" s="78" t="s">
        <v>57</v>
      </c>
      <c r="B63" s="77"/>
      <c r="C63" s="77"/>
      <c r="D63" s="77"/>
      <c r="E63" s="76"/>
      <c r="F63" s="75" t="s">
        <v>26</v>
      </c>
      <c r="G63" s="74">
        <f>G50+G61</f>
        <v>58579.638536301376</v>
      </c>
      <c r="H63" s="73">
        <f>G63/$C$32</f>
        <v>929.83553232224403</v>
      </c>
      <c r="I63" s="72">
        <f>G63/$G$63</f>
        <v>1</v>
      </c>
      <c r="J63" s="50" t="s">
        <v>26</v>
      </c>
    </row>
    <row r="64" spans="1:14" ht="15" x14ac:dyDescent="0.2">
      <c r="A64" s="5"/>
      <c r="B64" s="5"/>
      <c r="C64" s="5"/>
      <c r="D64" s="5"/>
      <c r="E64" s="59" t="s">
        <v>26</v>
      </c>
      <c r="F64" s="59" t="s">
        <v>26</v>
      </c>
      <c r="G64" s="59" t="s">
        <v>26</v>
      </c>
      <c r="H64" s="71"/>
      <c r="I64" s="70"/>
      <c r="J64" s="50" t="s">
        <v>26</v>
      </c>
    </row>
    <row r="65" spans="1:256" ht="15.75" thickBot="1" x14ac:dyDescent="0.25">
      <c r="A65" s="69" t="s">
        <v>56</v>
      </c>
      <c r="B65" s="55"/>
      <c r="C65" s="55"/>
      <c r="D65" s="55"/>
      <c r="E65" s="54"/>
      <c r="F65" s="54"/>
      <c r="G65" s="53">
        <f>G32-G63</f>
        <v>3006.0114636986182</v>
      </c>
      <c r="H65" s="68">
        <f>G65/$C$32</f>
        <v>47.714467677755842</v>
      </c>
      <c r="I65" s="67"/>
      <c r="J65" s="50" t="s">
        <v>26</v>
      </c>
    </row>
    <row r="66" spans="1:256" s="62" customFormat="1" ht="16.5" thickTop="1" thickBot="1" x14ac:dyDescent="0.25">
      <c r="A66" s="66"/>
      <c r="B66" s="66"/>
      <c r="C66" s="66"/>
      <c r="D66" s="66"/>
      <c r="E66" s="66"/>
      <c r="F66" s="66"/>
      <c r="G66" s="66"/>
      <c r="H66" s="65"/>
      <c r="I66" s="64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  <c r="IU66" s="63"/>
      <c r="IV66" s="63"/>
    </row>
    <row r="67" spans="1:256" ht="15.75" thickTop="1" x14ac:dyDescent="0.2">
      <c r="A67" s="31" t="s">
        <v>55</v>
      </c>
      <c r="B67" s="5"/>
      <c r="C67" s="5"/>
      <c r="D67" s="5"/>
      <c r="E67" s="34"/>
      <c r="F67" s="34"/>
      <c r="G67" s="33">
        <f>G32/C32</f>
        <v>977.55</v>
      </c>
      <c r="H67" s="57"/>
      <c r="I67" s="3"/>
      <c r="J67" s="50" t="s">
        <v>26</v>
      </c>
    </row>
    <row r="68" spans="1:256" ht="15" x14ac:dyDescent="0.2">
      <c r="A68" s="5"/>
      <c r="B68" s="5"/>
      <c r="C68" s="5"/>
      <c r="D68" s="5"/>
      <c r="E68" s="34"/>
      <c r="F68" s="34"/>
      <c r="G68" s="34"/>
      <c r="H68" s="9"/>
      <c r="I68" s="3"/>
      <c r="J68" s="50" t="s">
        <v>26</v>
      </c>
    </row>
    <row r="69" spans="1:256" ht="15" x14ac:dyDescent="0.2">
      <c r="A69" s="31" t="s">
        <v>54</v>
      </c>
      <c r="B69" s="5"/>
      <c r="C69" s="5"/>
      <c r="D69" s="5"/>
      <c r="E69" s="34"/>
      <c r="F69" s="34"/>
      <c r="G69" s="33">
        <f>G35/C32</f>
        <v>631.94444444444446</v>
      </c>
      <c r="H69" s="57"/>
      <c r="I69" s="3"/>
      <c r="J69" s="50" t="s">
        <v>26</v>
      </c>
    </row>
    <row r="70" spans="1:256" ht="15" x14ac:dyDescent="0.2">
      <c r="A70" s="5"/>
      <c r="B70" s="5"/>
      <c r="C70" s="5"/>
      <c r="D70" s="5"/>
      <c r="E70" s="34"/>
      <c r="F70" s="34"/>
      <c r="G70" s="34"/>
      <c r="H70" s="9"/>
      <c r="I70" s="3"/>
      <c r="J70" s="50" t="s">
        <v>26</v>
      </c>
    </row>
    <row r="71" spans="1:256" ht="15" x14ac:dyDescent="0.2">
      <c r="A71" s="33">
        <f>((E32*C32)-E35*C35)/C32</f>
        <v>3.738888888888888</v>
      </c>
      <c r="B71" s="31" t="s">
        <v>53</v>
      </c>
      <c r="C71" s="5"/>
      <c r="D71" s="61" t="s">
        <v>52</v>
      </c>
      <c r="E71" s="34"/>
      <c r="F71" s="34"/>
      <c r="G71" s="33">
        <f>G67-G69</f>
        <v>345.6055555555555</v>
      </c>
      <c r="H71" s="57"/>
      <c r="I71" s="3"/>
      <c r="J71" s="50" t="s">
        <v>26</v>
      </c>
    </row>
    <row r="72" spans="1:256" ht="15" x14ac:dyDescent="0.2">
      <c r="A72" s="5"/>
      <c r="B72" s="5"/>
      <c r="C72" s="5"/>
      <c r="D72" s="5"/>
      <c r="E72" s="34"/>
      <c r="F72" s="34"/>
      <c r="G72" s="34"/>
      <c r="H72" s="9"/>
      <c r="I72" s="3"/>
      <c r="J72" s="50" t="s">
        <v>26</v>
      </c>
    </row>
    <row r="73" spans="1:256" ht="15" x14ac:dyDescent="0.2">
      <c r="A73" s="31" t="s">
        <v>51</v>
      </c>
      <c r="B73" s="5"/>
      <c r="C73" s="5"/>
      <c r="D73" s="5"/>
      <c r="E73" s="34"/>
      <c r="F73" s="34"/>
      <c r="G73" s="33">
        <f>(G63-G35)/C32</f>
        <v>297.89108787779963</v>
      </c>
      <c r="H73" s="57"/>
      <c r="I73" s="3"/>
      <c r="J73" s="50" t="s">
        <v>26</v>
      </c>
    </row>
    <row r="74" spans="1:256" ht="15" x14ac:dyDescent="0.2">
      <c r="A74" s="5"/>
      <c r="B74" s="5"/>
      <c r="C74" s="5"/>
      <c r="D74" s="5"/>
      <c r="E74" s="34"/>
      <c r="F74" s="34"/>
      <c r="G74" s="34"/>
      <c r="H74" s="9"/>
      <c r="I74" s="3"/>
    </row>
    <row r="75" spans="1:256" ht="15" x14ac:dyDescent="0.2">
      <c r="A75" s="31" t="s">
        <v>50</v>
      </c>
      <c r="B75" s="5"/>
      <c r="C75" s="5"/>
      <c r="D75" s="5"/>
      <c r="E75" s="34"/>
      <c r="F75" s="34"/>
      <c r="G75" s="33">
        <f>(G32-G35)/((E32*C32)-E35*C35)</f>
        <v>92.435364041604743</v>
      </c>
      <c r="H75" s="57"/>
      <c r="I75" s="3"/>
      <c r="J75" s="50" t="s">
        <v>26</v>
      </c>
    </row>
    <row r="76" spans="1:256" ht="15" x14ac:dyDescent="0.2">
      <c r="A76" s="5"/>
      <c r="B76" s="5"/>
      <c r="C76" s="5"/>
      <c r="D76" s="5"/>
      <c r="E76" s="34"/>
      <c r="F76" s="34"/>
      <c r="G76" s="34"/>
      <c r="H76" s="9"/>
      <c r="I76" s="3"/>
      <c r="J76" s="50" t="s">
        <v>26</v>
      </c>
    </row>
    <row r="77" spans="1:256" ht="15" x14ac:dyDescent="0.2">
      <c r="A77" s="31" t="s">
        <v>49</v>
      </c>
      <c r="B77" s="5"/>
      <c r="C77" s="5"/>
      <c r="D77" s="5"/>
      <c r="E77" s="34"/>
      <c r="F77" s="34"/>
      <c r="G77" s="33">
        <f>(G50-G35)/((E32*C32)-E35*C35)</f>
        <v>74.121232073329679</v>
      </c>
      <c r="H77" s="57"/>
      <c r="I77" s="3"/>
      <c r="J77" s="50" t="s">
        <v>26</v>
      </c>
    </row>
    <row r="78" spans="1:256" ht="15" x14ac:dyDescent="0.2">
      <c r="A78" s="5"/>
      <c r="B78" s="5"/>
      <c r="C78" s="5"/>
      <c r="D78" s="5"/>
      <c r="E78" s="34"/>
      <c r="F78" s="34"/>
      <c r="G78" s="34"/>
      <c r="H78" s="9"/>
      <c r="I78" s="3"/>
      <c r="J78" s="50" t="s">
        <v>26</v>
      </c>
    </row>
    <row r="79" spans="1:256" ht="15" x14ac:dyDescent="0.2">
      <c r="A79" s="31" t="s">
        <v>44</v>
      </c>
      <c r="B79" s="5"/>
      <c r="C79" s="5"/>
      <c r="D79" s="5"/>
      <c r="E79" s="34"/>
      <c r="F79" s="34"/>
      <c r="G79" s="33">
        <f>(G63-G35)/((E32*C32)-E35*C35)</f>
        <v>79.673693637450143</v>
      </c>
      <c r="H79" s="57"/>
      <c r="I79" s="3"/>
      <c r="J79" s="50" t="s">
        <v>26</v>
      </c>
    </row>
    <row r="80" spans="1:256" ht="15" x14ac:dyDescent="0.2">
      <c r="A80" s="5"/>
      <c r="B80" s="5"/>
      <c r="C80" s="5"/>
      <c r="D80" s="5"/>
      <c r="E80" s="34"/>
      <c r="F80" s="34"/>
      <c r="G80" s="34"/>
      <c r="H80" s="9"/>
      <c r="I80" s="3"/>
      <c r="J80" s="50" t="s">
        <v>26</v>
      </c>
    </row>
    <row r="81" spans="1:11" ht="15" x14ac:dyDescent="0.2">
      <c r="A81" s="31" t="s">
        <v>48</v>
      </c>
      <c r="B81" s="5"/>
      <c r="C81" s="5"/>
      <c r="D81" s="5"/>
      <c r="E81" s="34"/>
      <c r="F81" s="34"/>
      <c r="G81" s="33">
        <f>G52/C32</f>
        <v>68.474504525828436</v>
      </c>
      <c r="H81" s="57"/>
      <c r="I81" s="3"/>
      <c r="J81" s="50" t="s">
        <v>26</v>
      </c>
    </row>
    <row r="82" spans="1:11" ht="15" x14ac:dyDescent="0.2">
      <c r="A82" s="5"/>
      <c r="B82" s="5"/>
      <c r="C82" s="5"/>
      <c r="D82" s="5"/>
      <c r="E82" s="59" t="s">
        <v>26</v>
      </c>
      <c r="F82" s="59" t="s">
        <v>26</v>
      </c>
      <c r="G82" s="59" t="s">
        <v>26</v>
      </c>
      <c r="H82" s="58"/>
      <c r="I82" s="3"/>
      <c r="J82" s="50" t="s">
        <v>26</v>
      </c>
    </row>
    <row r="83" spans="1:11" ht="15" x14ac:dyDescent="0.2">
      <c r="A83" s="31" t="s">
        <v>47</v>
      </c>
      <c r="B83" s="5"/>
      <c r="C83" s="5"/>
      <c r="D83" s="5"/>
      <c r="E83" s="34"/>
      <c r="F83" s="34"/>
      <c r="G83" s="33">
        <f>G65/C32</f>
        <v>47.714467677755842</v>
      </c>
      <c r="H83" s="60"/>
      <c r="I83" s="3"/>
      <c r="J83" s="50" t="s">
        <v>26</v>
      </c>
    </row>
    <row r="84" spans="1:11" ht="15" x14ac:dyDescent="0.2">
      <c r="A84" s="5"/>
      <c r="B84" s="5"/>
      <c r="C84" s="5"/>
      <c r="D84" s="5"/>
      <c r="E84" s="34"/>
      <c r="F84" s="34"/>
      <c r="G84" s="34"/>
      <c r="H84" s="9"/>
      <c r="I84" s="3"/>
      <c r="J84" s="50" t="s">
        <v>26</v>
      </c>
    </row>
    <row r="85" spans="1:11" ht="15" x14ac:dyDescent="0.2">
      <c r="A85" s="31" t="s">
        <v>46</v>
      </c>
      <c r="B85" s="5"/>
      <c r="C85" s="5"/>
      <c r="D85" s="5"/>
      <c r="E85" s="34"/>
      <c r="F85" s="34"/>
      <c r="G85" s="33">
        <f>G50/(E32*C32)</f>
        <v>123.68374088083966</v>
      </c>
      <c r="H85" s="57"/>
      <c r="I85" s="3"/>
      <c r="J85" s="50" t="s">
        <v>26</v>
      </c>
    </row>
    <row r="86" spans="1:11" ht="15" x14ac:dyDescent="0.2">
      <c r="A86" s="5"/>
      <c r="B86" s="5"/>
      <c r="C86" s="5"/>
      <c r="D86" s="5"/>
      <c r="E86" s="59" t="s">
        <v>26</v>
      </c>
      <c r="F86" s="59" t="s">
        <v>26</v>
      </c>
      <c r="G86" s="59" t="s">
        <v>26</v>
      </c>
      <c r="H86" s="58"/>
      <c r="I86" s="3"/>
      <c r="J86" s="50" t="s">
        <v>26</v>
      </c>
    </row>
    <row r="87" spans="1:11" ht="15" x14ac:dyDescent="0.2">
      <c r="A87" s="31" t="s">
        <v>44</v>
      </c>
      <c r="B87" s="5"/>
      <c r="C87" s="5"/>
      <c r="D87" s="5"/>
      <c r="E87" s="34"/>
      <c r="F87" s="34"/>
      <c r="G87" s="33">
        <f>G63/(E32*C32)</f>
        <v>126.50823569010124</v>
      </c>
      <c r="H87" s="57"/>
      <c r="I87" s="3"/>
      <c r="J87" s="50" t="s">
        <v>26</v>
      </c>
      <c r="K87" s="134">
        <f>(E35*C35*K88)*8/12*F48</f>
        <v>1570.0120870022827</v>
      </c>
    </row>
    <row r="88" spans="1:11" ht="15" x14ac:dyDescent="0.2">
      <c r="A88" s="5"/>
      <c r="B88" s="5"/>
      <c r="C88" s="5"/>
      <c r="D88" s="5"/>
      <c r="E88" s="34"/>
      <c r="F88" s="34"/>
      <c r="G88" s="34"/>
      <c r="H88" s="9"/>
      <c r="I88" s="3"/>
      <c r="K88" s="135">
        <f>(G65+G35)/(E35*C35)</f>
        <v>188.21323720307086</v>
      </c>
    </row>
    <row r="89" spans="1:11" ht="15" x14ac:dyDescent="0.2">
      <c r="A89" s="31" t="s">
        <v>45</v>
      </c>
      <c r="B89" s="5"/>
      <c r="C89" s="5"/>
      <c r="D89" s="5"/>
      <c r="E89" s="34"/>
      <c r="F89" s="34"/>
      <c r="G89" s="33">
        <f>(G52+G35+(K48-K87))/(E35*C35)</f>
        <v>193.47768511996296</v>
      </c>
      <c r="H89" s="57"/>
      <c r="I89" s="3"/>
      <c r="J89" s="50" t="s">
        <v>26</v>
      </c>
    </row>
    <row r="90" spans="1:11" ht="15" x14ac:dyDescent="0.2">
      <c r="A90" s="5"/>
      <c r="B90" s="5"/>
      <c r="C90" s="5"/>
      <c r="D90" s="5"/>
      <c r="E90" s="34"/>
      <c r="F90" s="34"/>
      <c r="G90" s="34"/>
      <c r="H90" s="9"/>
      <c r="I90" s="3"/>
    </row>
    <row r="91" spans="1:11" ht="15.75" thickBot="1" x14ac:dyDescent="0.25">
      <c r="A91" s="56" t="s">
        <v>44</v>
      </c>
      <c r="B91" s="55"/>
      <c r="C91" s="55"/>
      <c r="D91" s="55"/>
      <c r="E91" s="54"/>
      <c r="F91" s="54"/>
      <c r="G91" s="53">
        <f>(G65+G35+(K48-K87))/(E35*C35)</f>
        <v>187.72875183895826</v>
      </c>
      <c r="H91" s="52"/>
      <c r="I91" s="51"/>
      <c r="J91" s="50" t="s">
        <v>26</v>
      </c>
    </row>
    <row r="92" spans="1:11" ht="15.75" thickTop="1" x14ac:dyDescent="0.2">
      <c r="A92" s="40"/>
      <c r="B92" s="5"/>
      <c r="C92" s="5"/>
      <c r="D92" s="5"/>
      <c r="E92" s="5"/>
      <c r="F92" s="5"/>
      <c r="G92" s="5"/>
      <c r="H92" s="5"/>
      <c r="I92" s="3"/>
      <c r="J92" s="50" t="s">
        <v>26</v>
      </c>
    </row>
    <row r="93" spans="1:11" ht="15" x14ac:dyDescent="0.2">
      <c r="A93" s="5"/>
      <c r="B93" s="5"/>
      <c r="C93" s="5"/>
      <c r="D93" s="5"/>
      <c r="E93" s="5"/>
      <c r="F93" s="5"/>
      <c r="G93" s="5"/>
      <c r="H93" s="5"/>
      <c r="I93" s="3"/>
    </row>
    <row r="94" spans="1:11" ht="15" x14ac:dyDescent="0.2">
      <c r="A94" s="31" t="s">
        <v>43</v>
      </c>
      <c r="B94" s="5"/>
      <c r="C94" s="5"/>
      <c r="D94" s="5"/>
      <c r="E94" s="5"/>
      <c r="F94" s="5"/>
      <c r="G94" s="5"/>
      <c r="H94" s="5"/>
      <c r="I94" s="3"/>
    </row>
    <row r="95" spans="1:11" ht="15.75" x14ac:dyDescent="0.25">
      <c r="A95" s="49">
        <f>A18</f>
        <v>65</v>
      </c>
      <c r="B95" s="48" t="str">
        <f>B18</f>
        <v>HEAD: STOCKER-STEER BUDGET (WINTER GRAZING - LIGHT WEIGHT CALVES);</v>
      </c>
      <c r="C95" s="5"/>
      <c r="D95" s="5"/>
      <c r="E95" s="5"/>
      <c r="F95" s="5"/>
      <c r="G95" s="5"/>
      <c r="H95" s="5"/>
      <c r="I95" s="3"/>
    </row>
    <row r="96" spans="1:11" ht="15" x14ac:dyDescent="0.2">
      <c r="A96" s="5"/>
      <c r="B96" s="47"/>
      <c r="C96" s="5"/>
      <c r="D96" s="5"/>
      <c r="E96" s="5"/>
      <c r="F96" s="5"/>
      <c r="G96" s="5"/>
      <c r="H96" s="5"/>
      <c r="I96" s="3"/>
    </row>
    <row r="97" spans="1:14" ht="15" x14ac:dyDescent="0.2">
      <c r="A97" s="5"/>
      <c r="B97" s="5"/>
      <c r="C97" s="5"/>
      <c r="D97" s="5"/>
      <c r="E97" s="5"/>
      <c r="F97" s="5"/>
      <c r="G97" s="5"/>
      <c r="H97" s="5"/>
      <c r="I97" s="3"/>
    </row>
    <row r="98" spans="1:14" ht="15" x14ac:dyDescent="0.2">
      <c r="A98" s="5"/>
      <c r="B98" s="5"/>
      <c r="C98" s="5"/>
      <c r="D98" s="10" t="s">
        <v>42</v>
      </c>
      <c r="E98" s="5"/>
      <c r="F98" s="5"/>
      <c r="G98" s="5"/>
      <c r="H98" s="5"/>
      <c r="I98" s="3"/>
    </row>
    <row r="99" spans="1:14" ht="15" x14ac:dyDescent="0.2">
      <c r="A99" s="5"/>
      <c r="B99" s="5"/>
      <c r="C99" s="5"/>
      <c r="D99" s="10"/>
      <c r="E99" s="5"/>
      <c r="F99" s="5"/>
      <c r="G99" s="5"/>
      <c r="H99" s="5"/>
      <c r="I99" s="3"/>
    </row>
    <row r="100" spans="1:14" ht="15" x14ac:dyDescent="0.2">
      <c r="A100" s="5"/>
      <c r="B100" s="5"/>
      <c r="C100" s="5"/>
      <c r="D100" s="5"/>
      <c r="E100" s="5"/>
      <c r="F100" s="5"/>
      <c r="G100" s="5"/>
      <c r="H100" s="5"/>
      <c r="I100" s="3"/>
    </row>
    <row r="101" spans="1:14" ht="15" x14ac:dyDescent="0.2">
      <c r="A101" s="31" t="s">
        <v>41</v>
      </c>
      <c r="B101" s="46"/>
      <c r="C101" s="41" t="s">
        <v>40</v>
      </c>
      <c r="D101" s="41"/>
      <c r="E101" s="41" t="s">
        <v>39</v>
      </c>
      <c r="F101" s="41" t="s">
        <v>19</v>
      </c>
      <c r="G101" s="41" t="s">
        <v>37</v>
      </c>
      <c r="H101" s="41" t="s">
        <v>38</v>
      </c>
      <c r="I101" s="3"/>
      <c r="J101" s="42" t="s">
        <v>37</v>
      </c>
      <c r="K101" s="42" t="s">
        <v>36</v>
      </c>
      <c r="L101" s="42" t="s">
        <v>35</v>
      </c>
      <c r="M101" s="42" t="s">
        <v>34</v>
      </c>
    </row>
    <row r="102" spans="1:14" ht="15" x14ac:dyDescent="0.2">
      <c r="A102" s="13"/>
      <c r="B102" s="45"/>
      <c r="C102" s="43" t="s">
        <v>33</v>
      </c>
      <c r="D102" s="43" t="s">
        <v>32</v>
      </c>
      <c r="E102" s="44" t="s">
        <v>31</v>
      </c>
      <c r="F102" s="43" t="s">
        <v>31</v>
      </c>
      <c r="G102" s="43" t="s">
        <v>30</v>
      </c>
      <c r="H102" s="43" t="s">
        <v>29</v>
      </c>
      <c r="I102" s="3"/>
      <c r="J102" s="42" t="s">
        <v>28</v>
      </c>
      <c r="K102" s="42" t="s">
        <v>27</v>
      </c>
    </row>
    <row r="103" spans="1:14" ht="15" x14ac:dyDescent="0.2">
      <c r="A103" s="5"/>
      <c r="B103" s="5"/>
      <c r="C103" s="5"/>
      <c r="D103" s="41" t="s">
        <v>26</v>
      </c>
      <c r="E103" s="5"/>
      <c r="F103" s="41" t="s">
        <v>26</v>
      </c>
      <c r="G103" s="41"/>
      <c r="H103" s="5"/>
      <c r="I103" s="3"/>
    </row>
    <row r="104" spans="1:14" ht="15" x14ac:dyDescent="0.2">
      <c r="A104" s="40"/>
      <c r="B104" s="5"/>
      <c r="C104" s="5"/>
      <c r="D104" s="5"/>
      <c r="E104" s="5"/>
      <c r="F104" s="5"/>
      <c r="G104" s="5"/>
      <c r="H104" s="5"/>
      <c r="I104" s="3"/>
    </row>
    <row r="105" spans="1:14" ht="15" x14ac:dyDescent="0.2">
      <c r="A105" s="136" t="s">
        <v>25</v>
      </c>
      <c r="B105" s="39"/>
      <c r="C105" s="137">
        <v>2050</v>
      </c>
      <c r="D105" s="138">
        <v>1</v>
      </c>
      <c r="E105" s="138">
        <v>0.67</v>
      </c>
      <c r="F105" s="85">
        <f t="shared" ref="F105:F110" si="3">C105*D105*E105</f>
        <v>1373.5</v>
      </c>
      <c r="G105" s="138">
        <v>0</v>
      </c>
      <c r="H105" s="138">
        <v>15</v>
      </c>
      <c r="I105" s="3"/>
      <c r="J105" s="32">
        <f>F105/100*G105</f>
        <v>0</v>
      </c>
      <c r="K105" s="32">
        <f>IF(F105=0,0,(F105-J105)/H105)</f>
        <v>91.566666666666663</v>
      </c>
      <c r="L105" s="32">
        <f>IF(F105=0,0,(0.2*F105)/H105)</f>
        <v>18.313333333333333</v>
      </c>
      <c r="M105" s="32">
        <f>0.0075*F105</f>
        <v>10.30125</v>
      </c>
      <c r="N105" s="37">
        <f>IF(A20&lt;450,45,45*1.1)</f>
        <v>45</v>
      </c>
    </row>
    <row r="106" spans="1:14" ht="15" x14ac:dyDescent="0.2">
      <c r="A106" s="136" t="s">
        <v>24</v>
      </c>
      <c r="B106" s="39"/>
      <c r="C106" s="137">
        <v>3500</v>
      </c>
      <c r="D106" s="138">
        <v>1</v>
      </c>
      <c r="E106" s="138">
        <v>0.67</v>
      </c>
      <c r="F106" s="85">
        <f t="shared" si="3"/>
        <v>2345</v>
      </c>
      <c r="G106" s="138">
        <v>0</v>
      </c>
      <c r="H106" s="138">
        <v>15</v>
      </c>
      <c r="I106" s="3"/>
      <c r="J106" s="32">
        <f>F106/100*G106</f>
        <v>0</v>
      </c>
      <c r="K106" s="32">
        <f>IF(F106=0,0,(F106-J106)/H106)</f>
        <v>156.33333333333334</v>
      </c>
      <c r="L106" s="32">
        <f>IF(F106=0,0,(0.2*F106)/H106)</f>
        <v>31.266666666666666</v>
      </c>
      <c r="M106" s="32">
        <f>0.0075*F106</f>
        <v>17.587499999999999</v>
      </c>
      <c r="N106" s="37">
        <v>58</v>
      </c>
    </row>
    <row r="107" spans="1:14" ht="15" x14ac:dyDescent="0.2">
      <c r="A107" s="136" t="s">
        <v>23</v>
      </c>
      <c r="B107" s="39"/>
      <c r="C107" s="137">
        <v>450</v>
      </c>
      <c r="D107" s="138">
        <v>1</v>
      </c>
      <c r="E107" s="138">
        <v>0.67</v>
      </c>
      <c r="F107" s="85">
        <f t="shared" si="3"/>
        <v>301.5</v>
      </c>
      <c r="G107" s="138">
        <v>0</v>
      </c>
      <c r="H107" s="138">
        <v>10</v>
      </c>
      <c r="I107" s="3"/>
      <c r="J107" s="32">
        <f>F107/100*G107</f>
        <v>0</v>
      </c>
      <c r="K107" s="32">
        <f>IF(F107=0,0,(F107-J107)/H107)</f>
        <v>30.15</v>
      </c>
      <c r="L107" s="32">
        <f>IF(F107=0,0,(0.2*F107)/H107)</f>
        <v>6.03</v>
      </c>
      <c r="M107" s="32">
        <f>0.0075*F107</f>
        <v>2.26125</v>
      </c>
      <c r="N107" s="37">
        <v>7</v>
      </c>
    </row>
    <row r="108" spans="1:14" ht="15" x14ac:dyDescent="0.2">
      <c r="A108" s="136" t="s">
        <v>22</v>
      </c>
      <c r="B108" s="39"/>
      <c r="C108" s="137">
        <v>750</v>
      </c>
      <c r="D108" s="138">
        <v>1</v>
      </c>
      <c r="E108" s="138">
        <v>0.67</v>
      </c>
      <c r="F108" s="85">
        <f t="shared" si="3"/>
        <v>502.50000000000006</v>
      </c>
      <c r="G108" s="138">
        <v>0</v>
      </c>
      <c r="H108" s="138">
        <v>10</v>
      </c>
      <c r="I108" s="3"/>
    </row>
    <row r="109" spans="1:14" ht="15" x14ac:dyDescent="0.2">
      <c r="A109" s="136" t="s">
        <v>21</v>
      </c>
      <c r="B109" s="39"/>
      <c r="C109" s="137">
        <v>275</v>
      </c>
      <c r="D109" s="138">
        <v>1</v>
      </c>
      <c r="E109" s="138">
        <v>0.67</v>
      </c>
      <c r="F109" s="85">
        <f t="shared" si="3"/>
        <v>184.25</v>
      </c>
      <c r="G109" s="138">
        <v>0</v>
      </c>
      <c r="H109" s="138">
        <v>10</v>
      </c>
      <c r="I109" s="3"/>
      <c r="J109" s="32">
        <f>F109/100*G109</f>
        <v>0</v>
      </c>
      <c r="K109" s="32">
        <f>IF(F109=0,0,(F109-J109)/H109)</f>
        <v>18.425000000000001</v>
      </c>
      <c r="L109" s="32">
        <f>IF(F109=0,0,(0.2*F109)/H109)</f>
        <v>3.6850000000000001</v>
      </c>
      <c r="M109" s="32">
        <f>0.0075*F109</f>
        <v>1.381875</v>
      </c>
      <c r="N109" s="37">
        <v>4.5</v>
      </c>
    </row>
    <row r="110" spans="1:14" ht="15.75" thickBot="1" x14ac:dyDescent="0.25">
      <c r="A110" s="139" t="s">
        <v>20</v>
      </c>
      <c r="B110" s="36"/>
      <c r="C110" s="140">
        <v>23750</v>
      </c>
      <c r="D110" s="141">
        <v>1</v>
      </c>
      <c r="E110" s="141">
        <v>0.1</v>
      </c>
      <c r="F110" s="142">
        <f t="shared" si="3"/>
        <v>2375</v>
      </c>
      <c r="G110" s="141">
        <v>20</v>
      </c>
      <c r="H110" s="141">
        <v>7</v>
      </c>
      <c r="I110" s="3"/>
      <c r="J110" s="32">
        <f>F110/100*G110</f>
        <v>475</v>
      </c>
      <c r="K110" s="32">
        <f>IF(F110=0,0,(F110-J110)/H110)</f>
        <v>271.42857142857144</v>
      </c>
      <c r="L110" s="32">
        <f>IF(F110=0,0,(0.2*F110)/H110)</f>
        <v>67.857142857142861</v>
      </c>
      <c r="M110" s="32">
        <f>0.0075*F110</f>
        <v>17.8125</v>
      </c>
    </row>
    <row r="111" spans="1:14" ht="15.75" thickTop="1" x14ac:dyDescent="0.2">
      <c r="A111" s="35"/>
      <c r="B111" s="5"/>
      <c r="C111" s="5"/>
      <c r="D111" s="5"/>
      <c r="E111" s="5"/>
      <c r="F111" s="34"/>
      <c r="G111" s="5"/>
      <c r="H111" s="5"/>
      <c r="I111" s="3"/>
    </row>
    <row r="112" spans="1:14" ht="15" x14ac:dyDescent="0.2">
      <c r="A112" s="31" t="s">
        <v>19</v>
      </c>
      <c r="B112" s="5"/>
      <c r="C112" s="5"/>
      <c r="D112" s="5"/>
      <c r="E112" s="5"/>
      <c r="F112" s="33">
        <f>SUM(F105:F110)</f>
        <v>7081.75</v>
      </c>
      <c r="G112" s="5"/>
      <c r="H112" s="5"/>
      <c r="I112" s="3"/>
      <c r="J112" s="32">
        <f>SUM(J105:J110)</f>
        <v>475</v>
      </c>
      <c r="K112" s="32">
        <f>SUM(K105:K110)</f>
        <v>567.90357142857147</v>
      </c>
      <c r="L112" s="32">
        <f>SUM(L105:L110)</f>
        <v>127.15214285714286</v>
      </c>
      <c r="M112" s="32">
        <f>SUM(M105:M110)</f>
        <v>49.344374999999999</v>
      </c>
    </row>
    <row r="113" spans="1:13" ht="15" x14ac:dyDescent="0.2">
      <c r="A113" s="31"/>
      <c r="B113" s="5"/>
      <c r="C113" s="5"/>
      <c r="D113" s="5"/>
      <c r="E113" s="5"/>
      <c r="F113" s="33"/>
      <c r="G113" s="5"/>
      <c r="H113" s="5"/>
      <c r="I113" s="3"/>
      <c r="J113" s="32"/>
      <c r="K113" s="32"/>
      <c r="L113" s="32"/>
      <c r="M113" s="32"/>
    </row>
    <row r="114" spans="1:13" ht="15" x14ac:dyDescent="0.2">
      <c r="A114" s="31"/>
      <c r="B114" s="5"/>
      <c r="C114" s="5"/>
      <c r="D114" s="5"/>
      <c r="E114" s="5"/>
      <c r="F114" s="33"/>
      <c r="G114" s="5"/>
      <c r="H114" s="5"/>
      <c r="I114" s="3"/>
      <c r="J114" s="32"/>
      <c r="K114" s="32"/>
      <c r="L114" s="32"/>
      <c r="M114" s="32"/>
    </row>
    <row r="115" spans="1:13" ht="15" x14ac:dyDescent="0.2">
      <c r="A115" s="31"/>
      <c r="B115" s="5"/>
      <c r="C115" s="5"/>
      <c r="D115" s="5"/>
      <c r="E115" s="5"/>
      <c r="F115" s="33"/>
      <c r="G115" s="5"/>
      <c r="H115" s="5"/>
      <c r="I115" s="3"/>
      <c r="J115" s="32"/>
      <c r="K115" s="32"/>
      <c r="L115" s="32"/>
      <c r="M115" s="32"/>
    </row>
    <row r="116" spans="1:13" ht="15" x14ac:dyDescent="0.2">
      <c r="A116" s="31"/>
      <c r="B116" s="5"/>
      <c r="C116" s="5"/>
      <c r="D116" s="5"/>
      <c r="E116" s="5"/>
      <c r="F116" s="33"/>
      <c r="G116" s="5"/>
      <c r="H116" s="5"/>
      <c r="I116" s="3"/>
      <c r="J116" s="32"/>
      <c r="K116" s="32"/>
      <c r="L116" s="32"/>
      <c r="M116" s="32"/>
    </row>
    <row r="117" spans="1:13" ht="15" x14ac:dyDescent="0.2">
      <c r="A117" s="5"/>
      <c r="B117" s="5"/>
      <c r="C117" s="31" t="s">
        <v>18</v>
      </c>
      <c r="D117" s="5"/>
      <c r="E117" s="5"/>
      <c r="F117" s="5"/>
      <c r="G117" s="5"/>
      <c r="H117" s="5"/>
      <c r="I117" s="3"/>
    </row>
    <row r="118" spans="1:13" ht="15" x14ac:dyDescent="0.2">
      <c r="A118" s="5"/>
      <c r="B118" s="5"/>
      <c r="C118" s="31" t="s">
        <v>17</v>
      </c>
      <c r="D118" s="5"/>
      <c r="E118" s="5"/>
      <c r="F118" s="5"/>
      <c r="G118" s="5"/>
      <c r="H118" s="5"/>
      <c r="I118" s="3"/>
    </row>
    <row r="119" spans="1:13" ht="15" x14ac:dyDescent="0.2">
      <c r="A119" s="5"/>
      <c r="B119" s="5"/>
      <c r="C119" s="31"/>
      <c r="D119" s="5"/>
      <c r="E119" s="5"/>
      <c r="F119" s="5"/>
      <c r="G119" s="5"/>
      <c r="H119" s="5"/>
      <c r="I119" s="3"/>
    </row>
    <row r="120" spans="1:13" ht="15" x14ac:dyDescent="0.2">
      <c r="A120" s="5"/>
      <c r="B120" s="5"/>
      <c r="C120" s="5"/>
      <c r="D120" s="5"/>
      <c r="E120" s="5"/>
      <c r="F120" s="5"/>
      <c r="G120" s="5"/>
      <c r="H120" s="5"/>
      <c r="I120" s="3"/>
    </row>
    <row r="121" spans="1:13" ht="15" x14ac:dyDescent="0.2">
      <c r="A121" s="5"/>
      <c r="B121" s="18" t="s">
        <v>16</v>
      </c>
      <c r="C121" s="18" t="s">
        <v>15</v>
      </c>
      <c r="D121" s="5"/>
      <c r="E121" s="5"/>
      <c r="F121" s="5"/>
      <c r="G121" s="5"/>
      <c r="H121" s="5"/>
      <c r="I121" s="3"/>
    </row>
    <row r="122" spans="1:13" ht="15" x14ac:dyDescent="0.2">
      <c r="A122" s="5"/>
      <c r="B122" s="20" t="s">
        <v>14</v>
      </c>
      <c r="C122" s="28" t="s">
        <v>13</v>
      </c>
      <c r="D122" s="5"/>
      <c r="E122" s="5"/>
      <c r="F122" s="20" t="s">
        <v>12</v>
      </c>
      <c r="G122" s="5"/>
      <c r="H122" s="5"/>
      <c r="I122" s="3"/>
    </row>
    <row r="123" spans="1:13" ht="15" x14ac:dyDescent="0.2">
      <c r="A123" s="30">
        <f>A20</f>
        <v>350</v>
      </c>
      <c r="B123" s="29" t="s">
        <v>11</v>
      </c>
      <c r="C123" s="28" t="s">
        <v>10</v>
      </c>
      <c r="D123" s="5"/>
      <c r="E123" s="5"/>
      <c r="F123" s="18" t="s">
        <v>9</v>
      </c>
      <c r="G123" s="5"/>
      <c r="H123" s="5"/>
      <c r="I123" s="3"/>
    </row>
    <row r="124" spans="1:13" ht="15" x14ac:dyDescent="0.2">
      <c r="A124" s="5"/>
      <c r="B124" s="20" t="s">
        <v>8</v>
      </c>
      <c r="C124" s="27" t="s">
        <v>7</v>
      </c>
      <c r="D124" s="5"/>
      <c r="E124" s="5"/>
      <c r="F124" s="20" t="s">
        <v>6</v>
      </c>
      <c r="G124" s="5"/>
      <c r="H124" s="5"/>
      <c r="I124" s="3"/>
      <c r="J124" s="11"/>
    </row>
    <row r="125" spans="1:13" ht="15" x14ac:dyDescent="0.2">
      <c r="A125" s="5"/>
      <c r="B125" s="18"/>
      <c r="C125" s="5"/>
      <c r="D125" s="5"/>
      <c r="E125" s="5"/>
      <c r="F125" s="5"/>
      <c r="G125" s="5"/>
      <c r="H125" s="5"/>
      <c r="I125" s="3"/>
      <c r="J125" s="11"/>
    </row>
    <row r="126" spans="1:13" ht="15" x14ac:dyDescent="0.2">
      <c r="A126" s="5"/>
      <c r="B126" s="5"/>
      <c r="C126" s="5"/>
      <c r="D126" s="26">
        <f>F126-10</f>
        <v>123</v>
      </c>
      <c r="E126" s="26">
        <f>F126-5</f>
        <v>128</v>
      </c>
      <c r="F126" s="26">
        <f>F32</f>
        <v>133</v>
      </c>
      <c r="G126" s="26">
        <f>F126+5</f>
        <v>138</v>
      </c>
      <c r="H126" s="26">
        <f>F126+10</f>
        <v>143</v>
      </c>
      <c r="I126" s="3"/>
      <c r="J126" s="11"/>
    </row>
    <row r="127" spans="1:13" ht="15" x14ac:dyDescent="0.2">
      <c r="A127" s="5"/>
      <c r="B127" s="5"/>
      <c r="C127" s="21"/>
      <c r="D127" s="25"/>
      <c r="E127" s="25"/>
      <c r="F127" s="25"/>
      <c r="G127" s="25"/>
      <c r="H127" s="24"/>
      <c r="I127" s="8"/>
      <c r="J127" s="11"/>
    </row>
    <row r="128" spans="1:13" ht="15" x14ac:dyDescent="0.2">
      <c r="A128" s="5"/>
      <c r="B128" s="5"/>
      <c r="C128" s="21"/>
      <c r="D128" s="5"/>
      <c r="E128" s="23" t="s">
        <v>5</v>
      </c>
      <c r="F128" s="5"/>
      <c r="G128" s="5"/>
      <c r="H128" s="21"/>
      <c r="I128" s="8"/>
      <c r="J128" s="11"/>
    </row>
    <row r="129" spans="1:10" ht="15" x14ac:dyDescent="0.2">
      <c r="A129" s="5"/>
      <c r="B129" s="5"/>
      <c r="C129" s="21"/>
      <c r="D129" s="5"/>
      <c r="E129" s="5"/>
      <c r="F129" s="5"/>
      <c r="G129" s="5"/>
      <c r="H129" s="21"/>
      <c r="I129" s="8"/>
      <c r="J129" s="11"/>
    </row>
    <row r="130" spans="1:10" ht="15" x14ac:dyDescent="0.2">
      <c r="A130" s="5"/>
      <c r="B130" s="5"/>
      <c r="C130" s="17">
        <f>C144</f>
        <v>335</v>
      </c>
      <c r="D130" s="16">
        <f>(D$126*(($A$20+$C130)*0.01))-(($C$35*$E$35*$B$132+$G$36+$G$37+$G$38+$G$39+$G$40+$G$41+$G$42+$G$43+$G$44+$G$45+$G$46+$G$47+$G$61)/$C$32)-((($C$35*$E$35*$B$132+$G$40+$G$41)*$C$20/365)+($G$36*($C$20+30)/365)+($G$39*(($C$20*0.67)/365))+(($G$37+$G$38+$G$42+$G$43+$G$44+$G$46+$G$47)*($C$20*0.5)/365))*$F$48/$C$32</f>
        <v>-50.086141150250093</v>
      </c>
      <c r="E130" s="16">
        <f>(E$126*(($A$20+$C130)*0.01))-(($C$35*$E$35*$B$132+$G$36+$G$37+$G$38+$G$39+$G$40+$G$41+$G$42+$G$43+$G$44+$G$45+$G$46+$G$47+$G$61)/$C$32)-((($C$35*$E$35*$B$132+$G$40+$G$41)*$C$20/365)+($G$36*($C$20+30)/365)+($G$39*(($C$20*0.67)/365))+(($G$37+$G$38+$G$42+$G$43+$G$44+$G$46+$G$47)*($C$20*0.5)/365))*$F$48/$C$32</f>
        <v>-15.836141150250093</v>
      </c>
      <c r="F130" s="16">
        <f>(F$126*(($A$20+$C130)*0.01))-(($C$35*$E$35*$B$132+$G$36+$G$37+$G$38+$G$39+$G$40+$G$41+$G$42+$G$43+$G$44+$G$45+$G$46+$G$47+$G$61)/$C$32)-((($C$35*$E$35*$B$132+$G$40+$G$41)*$C$20/365)+($G$36*($C$20+30)/365)+($G$39*(($C$20*0.67)/365))+(($G$37+$G$38+$G$42+$G$43+$G$44+$G$46+$G$47)*($C$20*0.5)/365))*$F$48/$C$32</f>
        <v>18.413858849749907</v>
      </c>
      <c r="G130" s="16">
        <f>(G$126*(($A$20+$C130)*0.01))-(($C$35*$E$35*$B$132+$G$36+$G$37+$G$38+$G$39+$G$40+$G$41+$G$42+$G$43+$G$44+$G$45+$G$46+$G$47+$G$61)/$C$32)-((($C$35*$E$35*$B$132+$G$40+$G$41)*$C$20/365)+($G$36*($C$20+30)/365)+($G$39*(($C$20*0.67)/365))+(($G$37+$G$38+$G$42+$G$43+$G$44+$G$46+$G$47)*($C$20*0.5)/365))*$F$48/$C$32</f>
        <v>52.663858849749907</v>
      </c>
      <c r="H130" s="15">
        <f>(H$126*(($A$20+$C130)*0.01))-(($C$35*$E$35*$B$132+$G$36+$G$37+$G$38+$G$39+$G$40+$G$41+$G$42+$G$43+$G$44+$G$45+$G$46+$G$47+$G$61)/$C$32)-((($C$35*$E$35*$B$132+$G$40+$G$41)*$C$20/365)+($G$36*($C$20+30)/365)+($G$39*(($C$20*0.67)/365))+(($G$37+$G$38+$G$42+$G$43+$G$44+$G$46+$G$47)*($C$20*0.5)/365))*$F$48/$C$32</f>
        <v>86.913858849749914</v>
      </c>
      <c r="I130" s="8"/>
      <c r="J130" s="11"/>
    </row>
    <row r="131" spans="1:10" ht="15" x14ac:dyDescent="0.2">
      <c r="A131" s="5"/>
      <c r="B131" s="5"/>
      <c r="C131" s="19"/>
      <c r="D131" s="16"/>
      <c r="E131" s="16"/>
      <c r="F131" s="16"/>
      <c r="G131" s="16"/>
      <c r="H131" s="15"/>
      <c r="I131" s="8"/>
      <c r="J131" s="11"/>
    </row>
    <row r="132" spans="1:10" ht="15" x14ac:dyDescent="0.2">
      <c r="A132" s="5"/>
      <c r="B132" s="20">
        <f>B146-10</f>
        <v>165</v>
      </c>
      <c r="C132" s="17">
        <f>C146</f>
        <v>385</v>
      </c>
      <c r="D132" s="16">
        <f>(D$126*(($A$20+$C132)*0.01))-(($C$35*$E$35*$B$132+$G$36+$G$37+$G$38+$G$39+$G$40+$G$41+$G$42+$G$43+$G$44+$G$45+$G$46+$G$47+$G$61)/$C$32)-((($C$35*$E$35*$B$132+$G$40+$G$41)*$C$20/365)+($G$36*($C$20+30)/365)+($G$39*(($C$20*0.67)/365))+(($G$37+$G$38+$G$42+$G$43+$G$44+$G$46+$G$47)*($C$20*0.5)/365))*$F$48/$C$32</f>
        <v>11.413858849749907</v>
      </c>
      <c r="E132" s="16">
        <f>(E$126*(($A$20+$C132)*0.01))-(($C$35*$E$35*$B$132+$G$36+$G$37+$G$38+$G$39+$G$40+$G$41+$G$42+$G$43+$G$44+$G$45+$G$46+$G$47+$G$61)/$C$32)-((($C$35*$E$35*$B$132+$G$40+$G$41)*$C$20/365)+($G$36*($C$20+30)/365)+($G$39*(($C$20*0.67)/365))+(($G$37+$G$38+$G$42+$G$43+$G$44+$G$46+$G$47)*($C$20*0.5)/365))*$F$48/$C$32</f>
        <v>48.163858849749907</v>
      </c>
      <c r="F132" s="16">
        <f>(F$126*(($A$20+$C132)*0.01))-(($C$35*$E$35*$B$132+$G$36+$G$37+$G$38+$G$39+$G$40+$G$41+$G$42+$G$43+$G$44+$G$45+$G$46+$G$47+$G$61)/$C$32)-((($C$35*$E$35*$B$132+$G$40+$G$41)*$C$20/365)+($G$36*($C$20+30)/365)+($G$39*(($C$20*0.67)/365))+(($G$37+$G$38+$G$42+$G$43+$G$44+$G$46+$G$47)*($C$20*0.5)/365))*$F$48/$C$32</f>
        <v>84.913858849749914</v>
      </c>
      <c r="G132" s="16">
        <f>(G$126*(($A$20+$C132)*0.01))-(($C$35*$E$35*$B$132+$G$36+$G$37+$G$38+$G$39+$G$40+$G$41+$G$42+$G$43+$G$44+$G$45+$G$46+$G$47+$G$61)/$C$32)-((($C$35*$E$35*$B$132+$G$40+$G$41)*$C$20/365)+($G$36*($C$20+30)/365)+($G$39*(($C$20*0.67)/365))+(($G$37+$G$38+$G$42+$G$43+$G$44+$G$46+$G$47)*($C$20*0.5)/365))*$F$48/$C$32</f>
        <v>121.66385884974991</v>
      </c>
      <c r="H132" s="15">
        <f>(H$126*(($A$20+$C132)*0.01))-(($C$35*$E$35*$B$132+$G$36+$G$37+$G$38+$G$39+$G$40+$G$41+$G$42+$G$43+$G$44+$G$45+$G$46+$G$47+$G$61)/$C$32)-((($C$35*$E$35*$B$132+$G$40+$G$41)*$C$20/365)+($G$36*($C$20+30)/365)+($G$39*(($C$20*0.67)/365))+(($G$37+$G$38+$G$42+$G$43+$G$44+$G$46+$G$47)*($C$20*0.5)/365))*$F$48/$C$32</f>
        <v>158.41385884975003</v>
      </c>
      <c r="I132" s="8"/>
      <c r="J132" s="11"/>
    </row>
    <row r="133" spans="1:10" ht="15" x14ac:dyDescent="0.2">
      <c r="A133" s="5"/>
      <c r="B133" s="18"/>
      <c r="C133" s="19"/>
      <c r="D133" s="16"/>
      <c r="E133" s="16"/>
      <c r="F133" s="16"/>
      <c r="G133" s="16"/>
      <c r="H133" s="15"/>
      <c r="I133" s="8"/>
      <c r="J133" s="11"/>
    </row>
    <row r="134" spans="1:10" ht="15" x14ac:dyDescent="0.2">
      <c r="A134" s="5"/>
      <c r="B134" s="18"/>
      <c r="C134" s="17">
        <f>C148</f>
        <v>435</v>
      </c>
      <c r="D134" s="16">
        <f>(D$126*(($A$20+$C134)*0.01))-(($C$35*$E$35*$B$132+$G$36+$G$37+$G$38+$G$39+$G$40+$G$41+$G$42+$G$43+$G$44+$G$45+$G$46+$G$47+$G$61)/$C$32)-((($C$35*$E$35*$B$132+$G$40+$G$41)*$C$20/365)+($G$36*($C$20+30)/365)+($G$39*(($C$20*0.67)/365))+(($G$37+$G$38+$G$42+$G$43+$G$44+$G$46+$G$47)*($C$20*0.5)/365))*$F$48/$C$32</f>
        <v>72.913858849749914</v>
      </c>
      <c r="E134" s="16">
        <f>(E$126*(($A$20+$C134)*0.01))-(($C$35*$E$35*$B$132+$G$36+$G$37+$G$38+$G$39+$G$40+$G$41+$G$42+$G$43+$G$44+$G$45+$G$46+$G$47+$G$61)/$C$32)-((($C$35*$E$35*$B$132+$G$40+$G$41)*$C$20/365)+($G$36*($C$20+30)/365)+($G$39*(($C$20*0.67)/365))+(($G$37+$G$38+$G$42+$G$43+$G$44+$G$46+$G$47)*($C$20*0.5)/365))*$F$48/$C$32</f>
        <v>112.16385884974991</v>
      </c>
      <c r="F134" s="16">
        <f>(F$126*(($A$20+$C134)*0.01))-(($C$35*$E$35*$B$132+$G$36+$G$37+$G$38+$G$39+$G$40+$G$41+$G$42+$G$43+$G$44+$G$45+$G$46+$G$47+$G$61)/$C$32)-((($C$35*$E$35*$B$132+$G$40+$G$41)*$C$20/365)+($G$36*($C$20+30)/365)+($G$39*(($C$20*0.67)/365))+(($G$37+$G$38+$G$42+$G$43+$G$44+$G$46+$G$47)*($C$20*0.5)/365))*$F$48/$C$32</f>
        <v>151.41385884975003</v>
      </c>
      <c r="G134" s="16">
        <f>(G$126*(($A$20+$C134)*0.01))-(($C$35*$E$35*$B$132+$G$36+$G$37+$G$38+$G$39+$G$40+$G$41+$G$42+$G$43+$G$44+$G$45+$G$46+$G$47+$G$61)/$C$32)-((($C$35*$E$35*$B$132+$G$40+$G$41)*$C$20/365)+($G$36*($C$20+30)/365)+($G$39*(($C$20*0.67)/365))+(($G$37+$G$38+$G$42+$G$43+$G$44+$G$46+$G$47)*($C$20*0.5)/365))*$F$48/$C$32</f>
        <v>190.66385884975003</v>
      </c>
      <c r="H134" s="15">
        <f>(H$126*(($A$20+$C134)*0.01))-(($C$35*$E$35*$B$132+$G$36+$G$37+$G$38+$G$39+$G$40+$G$41+$G$42+$G$43+$G$44+$G$45+$G$46+$G$47+$G$61)/$C$32)-((($C$35*$E$35*$B$132+$G$40+$G$41)*$C$20/365)+($G$36*($C$20+30)/365)+($G$39*(($C$20*0.67)/365))+(($G$37+$G$38+$G$42+$G$43+$G$44+$G$46+$G$47)*($C$20*0.5)/365))*$F$48/$C$32</f>
        <v>229.91385884975003</v>
      </c>
      <c r="I134" s="8"/>
      <c r="J134" s="11"/>
    </row>
    <row r="135" spans="1:10" ht="15" x14ac:dyDescent="0.2">
      <c r="A135" s="5"/>
      <c r="B135" s="18"/>
      <c r="C135" s="19"/>
      <c r="D135" s="5"/>
      <c r="E135" s="5"/>
      <c r="F135" s="5"/>
      <c r="G135" s="5"/>
      <c r="H135" s="21"/>
      <c r="I135" s="8"/>
      <c r="J135" s="11"/>
    </row>
    <row r="136" spans="1:10" ht="15" x14ac:dyDescent="0.2">
      <c r="A136" s="5"/>
      <c r="B136" s="18"/>
      <c r="C136" s="19"/>
      <c r="D136" s="5"/>
      <c r="E136" s="5"/>
      <c r="F136" s="5"/>
      <c r="G136" s="5"/>
      <c r="H136" s="21"/>
      <c r="I136" s="8"/>
      <c r="J136" s="11"/>
    </row>
    <row r="137" spans="1:10" ht="15" x14ac:dyDescent="0.2">
      <c r="A137" s="5"/>
      <c r="B137" s="18"/>
      <c r="C137" s="17">
        <f>C144</f>
        <v>335</v>
      </c>
      <c r="D137" s="16">
        <f>(D$126*(($A$20+$C137)*0.01))-(($C$35*$E$35*$B$139+$G$36+$G$37+$G$38+$G$39+$G$40+$G$41+$G$42+$G$43+$G$44+$G$45+$G$46+$G$47+$G$61)/$C$32)-((($C$35*$E$35*$B$139+$G$40+$G$41)*$C$20/365)+($G$36*($C$20+30)/365)+($G$39*(($C$20*0.67)/365))+(($G$37+$G$38+$G$42+$G$43+$G$44+$G$46+$G$47)*($C$20*0.5)/365))*$F$48/$C$32</f>
        <v>-68.68583673624704</v>
      </c>
      <c r="E137" s="16">
        <f>(E$126*(($A$20+$C137)*0.01))-(($C$35*$E$35*$B$139+$G$36+$G$37+$G$38+$G$39+$G$40+$G$41+$G$42+$G$43+$G$44+$G$45+$G$46+$G$47+$G$61)/$C$32)-((($C$35*$E$35*$B$139+$G$40+$G$41)*$C$20/365)+($G$36*($C$20+30)/365)+($G$39*(($C$20*0.67)/365))+(($G$37+$G$38+$G$42+$G$43+$G$44+$G$46+$G$47)*($C$20*0.5)/365))*$F$48/$C$32</f>
        <v>-34.43583673624704</v>
      </c>
      <c r="F137" s="16">
        <f>(F$126*(($A$20+$C137)*0.01))-(($C$35*$E$35*$B$139+$G$36+$G$37+$G$38+$G$39+$G$40+$G$41+$G$42+$G$43+$G$44+$G$45+$G$46+$G$47+$G$61)/$C$32)-((($C$35*$E$35*$B$139+$G$40+$G$41)*$C$20/365)+($G$36*($C$20+30)/365)+($G$39*(($C$20*0.67)/365))+(($G$37+$G$38+$G$42+$G$43+$G$44+$G$46+$G$47)*($C$20*0.5)/365))*$F$48/$C$32</f>
        <v>-0.18583673624703678</v>
      </c>
      <c r="G137" s="16">
        <f>(G$126*(($A$20+$C137)*0.01))-(($C$35*$E$35*$B$139+$G$36+$G$37+$G$38+$G$39+$G$40+$G$41+$G$42+$G$43+$G$44+$G$45+$G$46+$G$47+$G$61)/$C$32)-((($C$35*$E$35*$B$139+$G$40+$G$41)*$C$20/365)+($G$36*($C$20+30)/365)+($G$39*(($C$20*0.67)/365))+(($G$37+$G$38+$G$42+$G$43+$G$44+$G$46+$G$47)*($C$20*0.5)/365))*$F$48/$C$32</f>
        <v>34.06416326375296</v>
      </c>
      <c r="H137" s="15">
        <f>(H$126*(($A$20+$C137)*0.01))-(($C$35*$E$35*$B$139+$G$36+$G$37+$G$38+$G$39+$G$40+$G$41+$G$42+$G$43+$G$44+$G$45+$G$46+$G$47+$G$61)/$C$32)-((($C$35*$E$35*$B$139+$G$40+$G$41)*$C$20/365)+($G$36*($C$20+30)/365)+($G$39*(($C$20*0.67)/365))+(($G$37+$G$38+$G$42+$G$43+$G$44+$G$46+$G$47)*($C$20*0.5)/365))*$F$48/$C$32</f>
        <v>68.31416326375296</v>
      </c>
      <c r="I137" s="8"/>
      <c r="J137" s="11"/>
    </row>
    <row r="138" spans="1:10" ht="15" x14ac:dyDescent="0.2">
      <c r="A138" s="5"/>
      <c r="B138" s="18"/>
      <c r="C138" s="19"/>
      <c r="D138" s="16"/>
      <c r="E138" s="16"/>
      <c r="F138" s="16"/>
      <c r="G138" s="16"/>
      <c r="H138" s="15"/>
      <c r="I138" s="8"/>
      <c r="J138" s="11"/>
    </row>
    <row r="139" spans="1:10" ht="15" x14ac:dyDescent="0.2">
      <c r="A139" s="5"/>
      <c r="B139" s="20">
        <f>B146-5</f>
        <v>170</v>
      </c>
      <c r="C139" s="17">
        <f>C146</f>
        <v>385</v>
      </c>
      <c r="D139" s="16">
        <f>(D$126*(($A$20+$C139)*0.01))-(($C$35*$E$35*$B$139+$G$36+$G$37+$G$38+$G$39+$G$40+$G$41+$G$42+$G$43+$G$44+$G$45+$G$46+$G$47+$G$61)/$C$32)-((($C$35*$E$35*$B$139+$G$40+$G$41)*$C$20/365)+($G$36*($C$20+30)/365)+($G$39*(($C$20*0.67)/365))+(($G$37+$G$38+$G$42+$G$43+$G$44+$G$46+$G$47)*($C$20*0.5)/365))*$F$48/$C$32</f>
        <v>-7.1858367362470368</v>
      </c>
      <c r="E139" s="16">
        <f>(E$126*(($A$20+$C139)*0.01))-(($C$35*$E$35*$B$139+$G$36+$G$37+$G$38+$G$39+$G$40+$G$41+$G$42+$G$43+$G$44+$G$45+$G$46+$G$47+$G$61)/$C$32)-((($C$35*$E$35*$B$139+$G$40+$G$41)*$C$20/365)+($G$36*($C$20+30)/365)+($G$39*(($C$20*0.67)/365))+(($G$37+$G$38+$G$42+$G$43+$G$44+$G$46+$G$47)*($C$20*0.5)/365))*$F$48/$C$32</f>
        <v>29.564163263752963</v>
      </c>
      <c r="F139" s="16">
        <f>(F$126*(($A$20+$C139)*0.01))-(($C$35*$E$35*$B$139+$G$36+$G$37+$G$38+$G$39+$G$40+$G$41+$G$42+$G$43+$G$44+$G$45+$G$46+$G$47+$G$61)/$C$32)-((($C$35*$E$35*$B$139+$G$40+$G$41)*$C$20/365)+($G$36*($C$20+30)/365)+($G$39*(($C$20*0.67)/365))+(($G$37+$G$38+$G$42+$G$43+$G$44+$G$46+$G$47)*($C$20*0.5)/365))*$F$48/$C$32</f>
        <v>66.31416326375296</v>
      </c>
      <c r="G139" s="16">
        <f>(G$126*(($A$20+$C139)*0.01))-(($C$35*$E$35*$B$139+$G$36+$G$37+$G$38+$G$39+$G$40+$G$41+$G$42+$G$43+$G$44+$G$45+$G$46+$G$47+$G$61)/$C$32)-((($C$35*$E$35*$B$139+$G$40+$G$41)*$C$20/365)+($G$36*($C$20+30)/365)+($G$39*(($C$20*0.67)/365))+(($G$37+$G$38+$G$42+$G$43+$G$44+$G$46+$G$47)*($C$20*0.5)/365))*$F$48/$C$32</f>
        <v>103.06416326375296</v>
      </c>
      <c r="H139" s="15">
        <f>(H$126*(($A$20+$C139)*0.01))-(($C$35*$E$35*$B$139+$G$36+$G$37+$G$38+$G$39+$G$40+$G$41+$G$42+$G$43+$G$44+$G$45+$G$46+$G$47+$G$61)/$C$32)-((($C$35*$E$35*$B$139+$G$40+$G$41)*$C$20/365)+($G$36*($C$20+30)/365)+($G$39*(($C$20*0.67)/365))+(($G$37+$G$38+$G$42+$G$43+$G$44+$G$46+$G$47)*($C$20*0.5)/365))*$F$48/$C$32</f>
        <v>139.81416326375307</v>
      </c>
      <c r="I139" s="8"/>
      <c r="J139" s="11"/>
    </row>
    <row r="140" spans="1:10" ht="15" x14ac:dyDescent="0.2">
      <c r="A140" s="5"/>
      <c r="B140" s="18"/>
      <c r="C140" s="19"/>
      <c r="D140" s="16"/>
      <c r="E140" s="16"/>
      <c r="F140" s="16"/>
      <c r="G140" s="16"/>
      <c r="H140" s="15"/>
      <c r="I140" s="8"/>
      <c r="J140" s="11"/>
    </row>
    <row r="141" spans="1:10" ht="15" x14ac:dyDescent="0.2">
      <c r="A141" s="5"/>
      <c r="B141" s="18"/>
      <c r="C141" s="17">
        <f>C148</f>
        <v>435</v>
      </c>
      <c r="D141" s="16">
        <f>(D$126*(($A$20+$C141)*0.01))-(($C$35*$E$35*$B$139+$G$36+$G$37+$G$38+$G$39+$G$40+$G$41+$G$42+$G$43+$G$44+$G$45+$G$46+$G$47+$G$61)/$C$32)-((($C$35*$E$35*$B$139+$G$40+$G$41)*$C$20/365)+($G$36*($C$20+30)/365)+($G$39*(($C$20*0.67)/365))+(($G$37+$G$38+$G$42+$G$43+$G$44+$G$46+$G$47)*($C$20*0.5)/365))*$F$48/$C$32</f>
        <v>54.31416326375296</v>
      </c>
      <c r="E141" s="16">
        <f>(E$126*(($A$20+$C141)*0.01))-(($C$35*$E$35*$B$139+$G$36+$G$37+$G$38+$G$39+$G$40+$G$41+$G$42+$G$43+$G$44+$G$45+$G$46+$G$47+$G$61)/$C$32)-((($C$35*$E$35*$B$139+$G$40+$G$41)*$C$20/365)+($G$36*($C$20+30)/365)+($G$39*(($C$20*0.67)/365))+(($G$37+$G$38+$G$42+$G$43+$G$44+$G$46+$G$47)*($C$20*0.5)/365))*$F$48/$C$32</f>
        <v>93.56416326375296</v>
      </c>
      <c r="F141" s="16">
        <f>(F$126*(($A$20+$C141)*0.01))-(($C$35*$E$35*$B$139+$G$36+$G$37+$G$38+$G$39+$G$40+$G$41+$G$42+$G$43+$G$44+$G$45+$G$46+$G$47+$G$61)/$C$32)-((($C$35*$E$35*$B$139+$G$40+$G$41)*$C$20/365)+($G$36*($C$20+30)/365)+($G$39*(($C$20*0.67)/365))+(($G$37+$G$38+$G$42+$G$43+$G$44+$G$46+$G$47)*($C$20*0.5)/365))*$F$48/$C$32</f>
        <v>132.81416326375307</v>
      </c>
      <c r="G141" s="16">
        <f>(G$126*(($A$20+$C141)*0.01))-(($C$35*$E$35*$B$139+$G$36+$G$37+$G$38+$G$39+$G$40+$G$41+$G$42+$G$43+$G$44+$G$45+$G$46+$G$47+$G$61)/$C$32)-((($C$35*$E$35*$B$139+$G$40+$G$41)*$C$20/365)+($G$36*($C$20+30)/365)+($G$39*(($C$20*0.67)/365))+(($G$37+$G$38+$G$42+$G$43+$G$44+$G$46+$G$47)*($C$20*0.5)/365))*$F$48/$C$32</f>
        <v>172.06416326375307</v>
      </c>
      <c r="H141" s="15">
        <f>(H$126*(($A$20+$C141)*0.01))-(($C$35*$E$35*$B$139+$G$36+$G$37+$G$38+$G$39+$G$40+$G$41+$G$42+$G$43+$G$44+$G$45+$G$46+$G$47+$G$61)/$C$32)-((($C$35*$E$35*$B$139+$G$40+$G$41)*$C$20/365)+($G$36*($C$20+30)/365)+($G$39*(($C$20*0.67)/365))+(($G$37+$G$38+$G$42+$G$43+$G$44+$G$46+$G$47)*($C$20*0.5)/365))*$F$48/$C$32</f>
        <v>211.31416326375307</v>
      </c>
      <c r="I141" s="8"/>
      <c r="J141" s="11"/>
    </row>
    <row r="142" spans="1:10" ht="15" x14ac:dyDescent="0.2">
      <c r="A142" s="5"/>
      <c r="B142" s="18"/>
      <c r="C142" s="19"/>
      <c r="D142" s="5"/>
      <c r="E142" s="5"/>
      <c r="F142" s="5"/>
      <c r="G142" s="5"/>
      <c r="H142" s="21"/>
      <c r="I142" s="8"/>
      <c r="J142" s="11"/>
    </row>
    <row r="143" spans="1:10" ht="15" x14ac:dyDescent="0.2">
      <c r="A143" s="5"/>
      <c r="B143" s="18"/>
      <c r="C143" s="19"/>
      <c r="D143" s="5"/>
      <c r="E143" s="5"/>
      <c r="F143" s="5"/>
      <c r="G143" s="5"/>
      <c r="H143" s="21"/>
      <c r="I143" s="8"/>
      <c r="J143" s="11"/>
    </row>
    <row r="144" spans="1:10" ht="15" x14ac:dyDescent="0.2">
      <c r="A144" s="5"/>
      <c r="B144" s="18"/>
      <c r="C144" s="129">
        <f>+C146-50</f>
        <v>335</v>
      </c>
      <c r="D144" s="16">
        <f>(D$126*(($A$20+$C144)*0.01))-(($C$35*$E$35*$B$146+$G$36+$G$37+$G$38+$G$39+$G$40+$G$41+$G$42+$G$43+$G$44+$G$45+$G$46+$G$47+$G$61)/$C$32)-((($C$35*$E$35*$B$146+$G$40+$G$41)*$C$20/365)+($G$36*($C$20+30)/365)+($G$39*(($C$20*0.67)/365))+(($G$37+$G$38+$G$42+$G$43+$G$44+$G$46+$G$47)*($C$20*0.5)/365))*$F$48/$C$32</f>
        <v>-87.285532322243981</v>
      </c>
      <c r="E144" s="16">
        <f>(E$126*(($A$20+$C144)*0.01))-(($C$35*$E$35*$B$146+$G$36+$G$37+$G$38+$G$39+$G$40+$G$41+$G$42+$G$43+$G$44+$G$45+$G$46+$G$47+$G$61)/$C$32)-((($C$35*$E$35*$B$146+$G$40+$G$41)*$C$20/365)+($G$36*($C$20+30)/365)+($G$39*(($C$20*0.67)/365))+(($G$37+$G$38+$G$42+$G$43+$G$44+$G$46+$G$47)*($C$20*0.5)/365))*$F$48/$C$32</f>
        <v>-53.035532322243981</v>
      </c>
      <c r="F144" s="16">
        <f>(F$126*(($A$20+$C144)*0.01))-(($C$35*$E$35*$B$146+$G$36+$G$37+$G$38+$G$39+$G$40+$G$41+$G$42+$G$43+$G$44+$G$45+$G$46+$G$47+$G$61)/$C$32)-((($C$35*$E$35*$B$146+$G$40+$G$41)*$C$20/365)+($G$36*($C$20+30)/365)+($G$39*(($C$20*0.67)/365))+(($G$37+$G$38+$G$42+$G$43+$G$44+$G$46+$G$47)*($C$20*0.5)/365))*$F$48/$C$32</f>
        <v>-18.785532322243984</v>
      </c>
      <c r="G144" s="16">
        <f>(G$126*(($A$20+$C144)*0.01))-(($C$35*$E$35*$B$146+$G$36+$G$37+$G$38+$G$39+$G$40+$G$41+$G$42+$G$43+$G$44+$G$45+$G$46+$G$47+$G$61)/$C$32)-((($C$35*$E$35*$B$146+$G$40+$G$41)*$C$20/365)+($G$36*($C$20+30)/365)+($G$39*(($C$20*0.67)/365))+(($G$37+$G$38+$G$42+$G$43+$G$44+$G$46+$G$47)*($C$20*0.5)/365))*$F$48/$C$32</f>
        <v>15.464467677756016</v>
      </c>
      <c r="H144" s="15">
        <f>(H$126*(($A$20+$C144)*0.01))-(($C$35*$E$35*$B$146+$G$36+$G$37+$G$38+$G$39+$G$40+$G$41+$G$42+$G$43+$G$44+$G$45+$G$46+$G$47+$G$61)/$C$32)-((($C$35*$E$35*$B$146+$G$40+$G$41)*$C$20/365)+($G$36*($C$20+30)/365)+($G$39*(($C$20*0.67)/365))+(($G$37+$G$38+$G$42+$G$43+$G$44+$G$46+$G$47)*($C$20*0.5)/365))*$F$48/$C$32</f>
        <v>49.714467677756019</v>
      </c>
      <c r="I144" s="8"/>
      <c r="J144" s="11"/>
    </row>
    <row r="145" spans="1:10" ht="15.75" thickBot="1" x14ac:dyDescent="0.25">
      <c r="A145" s="5"/>
      <c r="B145" s="18"/>
      <c r="C145" s="19"/>
      <c r="D145" s="5"/>
      <c r="E145" s="5"/>
      <c r="F145" s="5"/>
      <c r="G145" s="5"/>
      <c r="H145" s="21"/>
      <c r="I145" s="8"/>
      <c r="J145" s="11"/>
    </row>
    <row r="146" spans="1:10" ht="15.75" thickBot="1" x14ac:dyDescent="0.25">
      <c r="A146" s="5"/>
      <c r="B146" s="20">
        <f>F35</f>
        <v>175</v>
      </c>
      <c r="C146" s="129">
        <f>(C24-A20)</f>
        <v>385</v>
      </c>
      <c r="D146" s="16">
        <f>(D$126*(($A$20+$C146)*0.01))-(($C$35*$E$35*$B$146+$G$36+$G$37+$G$38+$G$39+$G$40+$G$41+$G$42+$G$43+$G$44+$G$45+$G$46+$G$47+$G$61)/$C$32)-((($C$35*$E$35*$B$146+$G$40+$G$41)*$C$20/365)+($G$36*($C$20+30)/365)+($G$39*(($C$20*0.67)/365))+(($G$37+$G$38+$G$42+$G$43+$G$44+$G$46+$G$47)*($C$20*0.5)/365))*$F$48/$C$32</f>
        <v>-25.785532322243984</v>
      </c>
      <c r="E146" s="16">
        <f>(E$126*(($A$20+$C146)*0.01))-(($C$35*$E$35*$B$146+$G$36+$G$37+$G$38+$G$39+$G$40+$G$41+$G$42+$G$43+$G$44+$G$45+$G$46+$G$47+$G$61)/$C$32)-((($C$35*$E$35*$B$146+$G$40+$G$41)*$C$20/365)+($G$36*($C$20+30)/365)+($G$39*(($C$20*0.67)/365))+(($G$37+$G$38+$G$42+$G$43+$G$44+$G$46+$G$47)*($C$20*0.5)/365))*$F$48/$C$32</f>
        <v>10.964467677756016</v>
      </c>
      <c r="F146" s="22">
        <f>(F$126*(($A$20+$C146)*0.01))-(($C$35*$E$35*$B$146+$G$36+$G$37+$G$38+$G$39+$G$40+$G$41+$G$42+$G$43+$G$44+$G$45+$G$46+$G$47+$G$61)/$C$32)-((($C$35*$E$35*$B$146+$G$40+$G$41)*$C$20/365)+($G$36*($C$20+30)/365)+($G$39*(($C$20*0.67)/365))+(($G$37+$G$38+$G$42+$G$43+$G$44+$G$46+$G$47)*($C$20*0.5)/365))*$F$48/$C$32</f>
        <v>47.714467677756019</v>
      </c>
      <c r="G146" s="16">
        <f>(G$126*(($A$20+$C146)*0.01))-(($C$35*$E$35*$B$146+$G$36+$G$37+$G$38+$G$39+$G$40+$G$41+$G$42+$G$43+$G$44+$G$45+$G$46+$G$47+$G$61)/$C$32)-((($C$35*$E$35*$B$146+$G$40+$G$41)*$C$20/365)+($G$36*($C$20+30)/365)+($G$39*(($C$20*0.67)/365))+(($G$37+$G$38+$G$42+$G$43+$G$44+$G$46+$G$47)*($C$20*0.5)/365))*$F$48/$C$32</f>
        <v>84.464467677756019</v>
      </c>
      <c r="H146" s="15">
        <f>(H$126*(($A$20+$C146)*0.01))-(($C$35*$E$35*$B$146+$G$36+$G$37+$G$38+$G$39+$G$40+$G$41+$G$42+$G$43+$G$44+$G$45+$G$46+$G$47+$G$61)/$C$32)-((($C$35*$E$35*$B$146+$G$40+$G$41)*$C$20/365)+($G$36*($C$20+30)/365)+($G$39*(($C$20*0.67)/365))+(($G$37+$G$38+$G$42+$G$43+$G$44+$G$46+$G$47)*($C$20*0.5)/365))*$F$48/$C$32</f>
        <v>121.21446767775613</v>
      </c>
      <c r="I146" s="8"/>
      <c r="J146" s="11"/>
    </row>
    <row r="147" spans="1:10" ht="15" x14ac:dyDescent="0.2">
      <c r="A147" s="5"/>
      <c r="B147" s="18"/>
      <c r="C147" s="19"/>
      <c r="D147" s="5"/>
      <c r="E147" s="5"/>
      <c r="F147" s="5"/>
      <c r="G147" s="5"/>
      <c r="H147" s="21"/>
      <c r="I147" s="8"/>
      <c r="J147" s="11"/>
    </row>
    <row r="148" spans="1:10" ht="15" x14ac:dyDescent="0.2">
      <c r="A148" s="5"/>
      <c r="B148" s="18"/>
      <c r="C148" s="129">
        <f>C146+50</f>
        <v>435</v>
      </c>
      <c r="D148" s="16">
        <f>(D$126*(($A$20+$C148)*0.01))-(($C$35*$E$35*$B$146+$G$36+$G$37+$G$38+$G$39+$G$40+$G$41+$G$42+$G$43+$G$44+$G$45+$G$46+$G$47+$G$61)/$C$32)-((($C$35*$E$35*$B$146+$G$40+$G$41)*$C$20/365)+($G$36*($C$20+30)/365)+($G$39*(($C$20*0.67)/365))+(($G$37+$G$38+$G$42+$G$43+$G$44+$G$46+$G$47)*($C$20*0.5)/365))*$F$48/$C$32</f>
        <v>35.714467677756019</v>
      </c>
      <c r="E148" s="16">
        <f>(E$126*(($A$20+$C148)*0.01))-(($C$35*$E$35*$B$146+$G$36+$G$37+$G$38+$G$39+$G$40+$G$41+$G$42+$G$43+$G$44+$G$45+$G$46+$G$47+$G$61)/$C$32)-((($C$35*$E$35*$B$146+$G$40+$G$41)*$C$20/365)+($G$36*($C$20+30)/365)+($G$39*(($C$20*0.67)/365))+(($G$37+$G$38+$G$42+$G$43+$G$44+$G$46+$G$47)*($C$20*0.5)/365))*$F$48/$C$32</f>
        <v>74.964467677756019</v>
      </c>
      <c r="F148" s="16">
        <f>(F$126*(($A$20+$C148)*0.01))-(($C$35*$E$35*$B$146+$G$36+$G$37+$G$38+$G$39+$G$40+$G$41+$G$42+$G$43+$G$44+$G$45+$G$46+$G$47+$G$61)/$C$32)-((($C$35*$E$35*$B$146+$G$40+$G$41)*$C$20/365)+($G$36*($C$20+30)/365)+($G$39*(($C$20*0.67)/365))+(($G$37+$G$38+$G$42+$G$43+$G$44+$G$46+$G$47)*($C$20*0.5)/365))*$F$48/$C$32</f>
        <v>114.21446767775613</v>
      </c>
      <c r="G148" s="16">
        <f>(G$126*(($A$20+$C148)*0.01))-(($C$35*$E$35*$B$146+$G$36+$G$37+$G$38+$G$39+$G$40+$G$41+$G$42+$G$43+$G$44+$G$45+$G$46+$G$47+$G$61)/$C$32)-((($C$35*$E$35*$B$146+$G$40+$G$41)*$C$20/365)+($G$36*($C$20+30)/365)+($G$39*(($C$20*0.67)/365))+(($G$37+$G$38+$G$42+$G$43+$G$44+$G$46+$G$47)*($C$20*0.5)/365))*$F$48/$C$32</f>
        <v>153.46446767775612</v>
      </c>
      <c r="H148" s="15">
        <f>(H$126*(($A$20+$C148)*0.01))-(($C$35*$E$35*$B$146+$G$36+$G$37+$G$38+$G$39+$G$40+$G$41+$G$42+$G$43+$G$44+$G$45+$G$46+$G$47+$G$61)/$C$32)-((($C$35*$E$35*$B$146+$G$40+$G$41)*$C$20/365)+($G$36*($C$20+30)/365)+($G$39*(($C$20*0.67)/365))+(($G$37+$G$38+$G$42+$G$43+$G$44+$G$46+$G$47)*($C$20*0.5)/365))*$F$48/$C$32</f>
        <v>192.71446767775612</v>
      </c>
      <c r="I148" s="8"/>
      <c r="J148" s="11"/>
    </row>
    <row r="149" spans="1:10" ht="15" x14ac:dyDescent="0.2">
      <c r="A149" s="5"/>
      <c r="B149" s="18"/>
      <c r="C149" s="19"/>
      <c r="D149" s="5"/>
      <c r="E149" s="5"/>
      <c r="F149" s="5"/>
      <c r="G149" s="5"/>
      <c r="H149" s="21"/>
      <c r="I149" s="8"/>
      <c r="J149" s="11"/>
    </row>
    <row r="150" spans="1:10" ht="15" x14ac:dyDescent="0.2">
      <c r="A150" s="5"/>
      <c r="B150" s="18"/>
      <c r="C150" s="19"/>
      <c r="D150" s="5"/>
      <c r="E150" s="5"/>
      <c r="F150" s="5"/>
      <c r="G150" s="5"/>
      <c r="H150" s="21"/>
      <c r="I150" s="8"/>
      <c r="J150" s="11"/>
    </row>
    <row r="151" spans="1:10" ht="15" x14ac:dyDescent="0.2">
      <c r="A151" s="5"/>
      <c r="B151" s="18"/>
      <c r="C151" s="17">
        <f>C144</f>
        <v>335</v>
      </c>
      <c r="D151" s="16">
        <f>(D$126*(($A$20+$C151)*0.01))-(($C$35*$E$35*$B$153+$G$36+$G$37+$G$38+$G$39+$G$40+$G$41+$G$42+$G$43+$G$44+$G$45+$G$46+$G$47+$G$61)/$C$32)-((($C$35*$E$35*$B$153+$G$40+$G$41)*$C$20/365)+($G$36*($C$20+30)/365)+($G$39*(($C$20*0.67)/365))+(($G$37+$G$38+$G$42+$G$43+$G$44+$G$46+$G$47)*($C$20*0.5)/365))*$F$48/$C$32</f>
        <v>-105.88522790824092</v>
      </c>
      <c r="E151" s="16">
        <f>(E$126*(($A$20+$C151)*0.01))-(($C$35*$E$35*$B$153+$G$36+$G$37+$G$38+$G$39+$G$40+$G$41+$G$42+$G$43+$G$44+$G$45+$G$46+$G$47+$G$61)/$C$32)-((($C$35*$E$35*$B$153+$G$40+$G$41)*$C$20/365)+($G$36*($C$20+30)/365)+($G$39*(($C$20*0.67)/365))+(($G$37+$G$38+$G$42+$G$43+$G$44+$G$46+$G$47)*($C$20*0.5)/365))*$F$48/$C$32</f>
        <v>-71.635227908240921</v>
      </c>
      <c r="F151" s="16">
        <f>(F$126*(($A$20+$C151)*0.01))-(($C$35*$E$35*$B$153+$G$36+$G$37+$G$38+$G$39+$G$40+$G$41+$G$42+$G$43+$G$44+$G$45+$G$46+$G$47+$G$61)/$C$32)-((($C$35*$E$35*$B$153+$G$40+$G$41)*$C$20/365)+($G$36*($C$20+30)/365)+($G$39*(($C$20*0.67)/365))+(($G$37+$G$38+$G$42+$G$43+$G$44+$G$46+$G$47)*($C$20*0.5)/365))*$F$48/$C$32</f>
        <v>-37.385227908240921</v>
      </c>
      <c r="G151" s="16">
        <f>(G$126*(($A$20+$C151)*0.01))-(($C$35*$E$35*$B$153+$G$36+$G$37+$G$38+$G$39+$G$40+$G$41+$G$42+$G$43+$G$44+$G$45+$G$46+$G$47+$G$61)/$C$32)-((($C$35*$E$35*$B$153+$G$40+$G$41)*$C$20/365)+($G$36*($C$20+30)/365)+($G$39*(($C$20*0.67)/365))+(($G$37+$G$38+$G$42+$G$43+$G$44+$G$46+$G$47)*($C$20*0.5)/365))*$F$48/$C$32</f>
        <v>-3.1352279082409211</v>
      </c>
      <c r="H151" s="15">
        <f>(H$126*(($A$20+$C151)*0.01))-(($C$35*$E$35*$B$153+$G$36+$G$37+$G$38+$G$39+$G$40+$G$41+$G$42+$G$43+$G$44+$G$45+$G$46+$G$47+$G$61)/$C$32)-((($C$35*$E$35*$B$153+$G$40+$G$41)*$C$20/365)+($G$36*($C$20+30)/365)+($G$39*(($C$20*0.67)/365))+(($G$37+$G$38+$G$42+$G$43+$G$44+$G$46+$G$47)*($C$20*0.5)/365))*$F$48/$C$32</f>
        <v>31.114772091759079</v>
      </c>
      <c r="I151" s="8"/>
      <c r="J151" s="11"/>
    </row>
    <row r="152" spans="1:10" ht="15" x14ac:dyDescent="0.2">
      <c r="A152" s="5"/>
      <c r="B152" s="18"/>
      <c r="C152" s="19"/>
      <c r="D152" s="16"/>
      <c r="E152" s="16"/>
      <c r="F152" s="16"/>
      <c r="G152" s="16"/>
      <c r="H152" s="15"/>
      <c r="I152" s="8"/>
      <c r="J152" s="11"/>
    </row>
    <row r="153" spans="1:10" ht="15" x14ac:dyDescent="0.2">
      <c r="A153" s="5"/>
      <c r="B153" s="20">
        <f>B146+5</f>
        <v>180</v>
      </c>
      <c r="C153" s="17">
        <f>C146</f>
        <v>385</v>
      </c>
      <c r="D153" s="16">
        <f>(D$126*(($A$20+$C153)*0.01))-(($C$35*$E$35*$B$153+$G$36+$G$37+$G$38+$G$39+$G$40+$G$41+$G$42+$G$43+$G$44+$G$45+$G$46+$G$47+$G$61)/$C$32)-((($C$35*$E$35*$B$153+$G$40+$G$41)*$C$20/365)+($G$36*($C$20+30)/365)+($G$39*(($C$20*0.67)/365))+(($G$37+$G$38+$G$42+$G$43+$G$44+$G$46+$G$47)*($C$20*0.5)/365))*$F$48/$C$32</f>
        <v>-44.385227908240921</v>
      </c>
      <c r="E153" s="16">
        <f>(E$126*(($A$20+$C153)*0.01))-(($C$35*$E$35*$B$153+$G$36+$G$37+$G$38+$G$39+$G$40+$G$41+$G$42+$G$43+$G$44+$G$45+$G$46+$G$47+$G$61)/$C$32)-((($C$35*$E$35*$B$153+$G$40+$G$41)*$C$20/365)+($G$36*($C$20+30)/365)+($G$39*(($C$20*0.67)/365))+(($G$37+$G$38+$G$42+$G$43+$G$44+$G$46+$G$47)*($C$20*0.5)/365))*$F$48/$C$32</f>
        <v>-7.6352279082409211</v>
      </c>
      <c r="F153" s="16">
        <f>(F$126*(($A$20+$C153)*0.01))-(($C$35*$E$35*$B$153+$G$36+$G$37+$G$38+$G$39+$G$40+$G$41+$G$42+$G$43+$G$44+$G$45+$G$46+$G$47+$G$61)/$C$32)-((($C$35*$E$35*$B$153+$G$40+$G$41)*$C$20/365)+($G$36*($C$20+30)/365)+($G$39*(($C$20*0.67)/365))+(($G$37+$G$38+$G$42+$G$43+$G$44+$G$46+$G$47)*($C$20*0.5)/365))*$F$48/$C$32</f>
        <v>29.114772091759079</v>
      </c>
      <c r="G153" s="16">
        <f>(G$126*(($A$20+$C153)*0.01))-(($C$35*$E$35*$B$153+$G$36+$G$37+$G$38+$G$39+$G$40+$G$41+$G$42+$G$43+$G$44+$G$45+$G$46+$G$47+$G$61)/$C$32)-((($C$35*$E$35*$B$153+$G$40+$G$41)*$C$20/365)+($G$36*($C$20+30)/365)+($G$39*(($C$20*0.67)/365))+(($G$37+$G$38+$G$42+$G$43+$G$44+$G$46+$G$47)*($C$20*0.5)/365))*$F$48/$C$32</f>
        <v>65.864772091759079</v>
      </c>
      <c r="H153" s="15">
        <f>(H$126*(($A$20+$C153)*0.01))-(($C$35*$E$35*$B$153+$G$36+$G$37+$G$38+$G$39+$G$40+$G$41+$G$42+$G$43+$G$44+$G$45+$G$46+$G$47+$G$61)/$C$32)-((($C$35*$E$35*$B$153+$G$40+$G$41)*$C$20/365)+($G$36*($C$20+30)/365)+($G$39*(($C$20*0.67)/365))+(($G$37+$G$38+$G$42+$G$43+$G$44+$G$46+$G$47)*($C$20*0.5)/365))*$F$48/$C$32</f>
        <v>102.61477209175919</v>
      </c>
      <c r="I153" s="8"/>
      <c r="J153" s="11"/>
    </row>
    <row r="154" spans="1:10" ht="15" x14ac:dyDescent="0.2">
      <c r="A154" s="5"/>
      <c r="B154" s="18"/>
      <c r="C154" s="19"/>
      <c r="D154" s="16"/>
      <c r="E154" s="16"/>
      <c r="F154" s="16"/>
      <c r="G154" s="16"/>
      <c r="H154" s="15"/>
      <c r="I154" s="8"/>
      <c r="J154" s="11"/>
    </row>
    <row r="155" spans="1:10" ht="15" x14ac:dyDescent="0.2">
      <c r="A155" s="5"/>
      <c r="B155" s="18"/>
      <c r="C155" s="17">
        <f>C148</f>
        <v>435</v>
      </c>
      <c r="D155" s="16">
        <f>(D$126*(($A$20+$C155)*0.01))-(($C$35*$E$35*$B$153+$G$36+$G$37+$G$38+$G$39+$G$40+$G$41+$G$42+$G$43+$G$44+$G$45+$G$46+$G$47+$G$61)/$C$32)-((($C$35*$E$35*$B$153+$G$40+$G$41)*$C$20/365)+($G$36*($C$20+30)/365)+($G$39*(($C$20*0.67)/365))+(($G$37+$G$38+$G$42+$G$43+$G$44+$G$46+$G$47)*($C$20*0.5)/365))*$F$48/$C$32</f>
        <v>17.114772091759079</v>
      </c>
      <c r="E155" s="16">
        <f>(E$126*(($A$20+$C155)*0.01))-(($C$35*$E$35*$B$153+$G$36+$G$37+$G$38+$G$39+$G$40+$G$41+$G$42+$G$43+$G$44+$G$45+$G$46+$G$47+$G$61)/$C$32)-((($C$35*$E$35*$B$153+$G$40+$G$41)*$C$20/365)+($G$36*($C$20+30)/365)+($G$39*(($C$20*0.67)/365))+(($G$37+$G$38+$G$42+$G$43+$G$44+$G$46+$G$47)*($C$20*0.5)/365))*$F$48/$C$32</f>
        <v>56.364772091759079</v>
      </c>
      <c r="F155" s="16">
        <f>(F$126*(($A$20+$C155)*0.01))-(($C$35*$E$35*$B$153+$G$36+$G$37+$G$38+$G$39+$G$40+$G$41+$G$42+$G$43+$G$44+$G$45+$G$46+$G$47+$G$61)/$C$32)-((($C$35*$E$35*$B$153+$G$40+$G$41)*$C$20/365)+($G$36*($C$20+30)/365)+($G$39*(($C$20*0.67)/365))+(($G$37+$G$38+$G$42+$G$43+$G$44+$G$46+$G$47)*($C$20*0.5)/365))*$F$48/$C$32</f>
        <v>95.614772091759193</v>
      </c>
      <c r="G155" s="16">
        <f>(G$126*(($A$20+$C155)*0.01))-(($C$35*$E$35*$B$153+$G$36+$G$37+$G$38+$G$39+$G$40+$G$41+$G$42+$G$43+$G$44+$G$45+$G$46+$G$47+$G$61)/$C$32)-((($C$35*$E$35*$B$153+$G$40+$G$41)*$C$20/365)+($G$36*($C$20+30)/365)+($G$39*(($C$20*0.67)/365))+(($G$37+$G$38+$G$42+$G$43+$G$44+$G$46+$G$47)*($C$20*0.5)/365))*$F$48/$C$32</f>
        <v>134.86477209175919</v>
      </c>
      <c r="H155" s="15">
        <f>(H$126*(($A$20+$C155)*0.01))-(($C$35*$E$35*$B$153+$G$36+$G$37+$G$38+$G$39+$G$40+$G$41+$G$42+$G$43+$G$44+$G$45+$G$46+$G$47+$G$61)/$C$32)-((($C$35*$E$35*$B$153+$G$40+$G$41)*$C$20/365)+($G$36*($C$20+30)/365)+($G$39*(($C$20*0.67)/365))+(($G$37+$G$38+$G$42+$G$43+$G$44+$G$46+$G$47)*($C$20*0.5)/365))*$F$48/$C$32</f>
        <v>174.11477209175919</v>
      </c>
      <c r="I155" s="8"/>
      <c r="J155" s="11"/>
    </row>
    <row r="156" spans="1:10" ht="15" x14ac:dyDescent="0.2">
      <c r="A156" s="5"/>
      <c r="B156" s="18"/>
      <c r="C156" s="19"/>
      <c r="D156" s="5"/>
      <c r="E156" s="5"/>
      <c r="F156" s="5"/>
      <c r="G156" s="5"/>
      <c r="H156" s="21"/>
      <c r="I156" s="8"/>
      <c r="J156" s="11"/>
    </row>
    <row r="157" spans="1:10" ht="15" x14ac:dyDescent="0.2">
      <c r="A157" s="5"/>
      <c r="B157" s="18"/>
      <c r="C157" s="19"/>
      <c r="D157" s="5"/>
      <c r="E157" s="5"/>
      <c r="F157" s="5"/>
      <c r="G157" s="5"/>
      <c r="H157" s="21"/>
      <c r="I157" s="8"/>
      <c r="J157" s="11"/>
    </row>
    <row r="158" spans="1:10" ht="15" x14ac:dyDescent="0.2">
      <c r="A158" s="5"/>
      <c r="B158" s="18"/>
      <c r="C158" s="17">
        <f>C144</f>
        <v>335</v>
      </c>
      <c r="D158" s="16">
        <f>(D$126*(($A$20+$C158)*0.01))-(($C$35*$E$35*$B$160+$G$36+$G$37+$G$38+$G$39+$G$40+$G$41+$G$42+$G$43+$G$44+$G$45+$G$46+$G$47+$G$61)/$C$32)-((($C$35*$E$35*$B$160+$G$40+$G$41)*$C$20/365)+($G$36*($C$20+30)/365)+($G$39*(($C$20*0.67)/365))+(($G$37+$G$38+$G$42+$G$43+$G$44+$G$46+$G$47)*($C$20*0.5)/365))*$F$48/$C$32</f>
        <v>-124.48492349423786</v>
      </c>
      <c r="E158" s="16">
        <f>(E$126*(($A$20+$C158)*0.01))-(($C$35*$E$35*$B$160+$G$36+$G$37+$G$38+$G$39+$G$40+$G$41+$G$42+$G$43+$G$44+$G$45+$G$46+$G$47+$G$61)/$C$32)-((($C$35*$E$35*$B$160+$G$40+$G$41)*$C$20/365)+($G$36*($C$20+30)/365)+($G$39*(($C$20*0.67)/365))+(($G$37+$G$38+$G$42+$G$43+$G$44+$G$46+$G$47)*($C$20*0.5)/365))*$F$48/$C$32</f>
        <v>-90.234923494237862</v>
      </c>
      <c r="F158" s="16">
        <f>(F$126*(($A$20+$C158)*0.01))-(($C$35*$E$35*$B$160+$G$36+$G$37+$G$38+$G$39+$G$40+$G$41+$G$42+$G$43+$G$44+$G$45+$G$46+$G$47+$G$61)/$C$32)-((($C$35*$E$35*$B$160+$G$40+$G$41)*$C$20/365)+($G$36*($C$20+30)/365)+($G$39*(($C$20*0.67)/365))+(($G$37+$G$38+$G$42+$G$43+$G$44+$G$46+$G$47)*($C$20*0.5)/365))*$F$48/$C$32</f>
        <v>-55.984923494237862</v>
      </c>
      <c r="G158" s="16">
        <f>(G$126*(($A$20+$C158)*0.01))-(($C$35*$E$35*$B$160+$G$36+$G$37+$G$38+$G$39+$G$40+$G$41+$G$42+$G$43+$G$44+$G$45+$G$46+$G$47+$G$61)/$C$32)-((($C$35*$E$35*$B$160+$G$40+$G$41)*$C$20/365)+($G$36*($C$20+30)/365)+($G$39*(($C$20*0.67)/365))+(($G$37+$G$38+$G$42+$G$43+$G$44+$G$46+$G$47)*($C$20*0.5)/365))*$F$48/$C$32</f>
        <v>-21.734923494237865</v>
      </c>
      <c r="H158" s="15">
        <f>(H$126*(($A$20+$C158)*0.01))-(($C$35*$E$35*$B$160+$G$36+$G$37+$G$38+$G$39+$G$40+$G$41+$G$42+$G$43+$G$44+$G$45+$G$46+$G$47+$G$61)/$C$32)-((($C$35*$E$35*$B$160+$G$40+$G$41)*$C$20/365)+($G$36*($C$20+30)/365)+($G$39*(($C$20*0.67)/365))+(($G$37+$G$38+$G$42+$G$43+$G$44+$G$46+$G$47)*($C$20*0.5)/365))*$F$48/$C$32</f>
        <v>12.515076505762135</v>
      </c>
      <c r="I158" s="8"/>
      <c r="J158" s="11"/>
    </row>
    <row r="159" spans="1:10" ht="15" x14ac:dyDescent="0.2">
      <c r="A159" s="5"/>
      <c r="B159" s="18"/>
      <c r="C159" s="19"/>
      <c r="D159" s="16"/>
      <c r="E159" s="16"/>
      <c r="F159" s="16"/>
      <c r="G159" s="16"/>
      <c r="H159" s="15"/>
      <c r="I159" s="8"/>
      <c r="J159" s="11"/>
    </row>
    <row r="160" spans="1:10" ht="15" x14ac:dyDescent="0.2">
      <c r="A160" s="5"/>
      <c r="B160" s="20">
        <f>B146+10</f>
        <v>185</v>
      </c>
      <c r="C160" s="17">
        <f>C146</f>
        <v>385</v>
      </c>
      <c r="D160" s="16">
        <f>(D$126*(($A$20+$C160)*0.01))-(($C$35*$E$35*$B$160+$G$36+$G$37+$G$38+$G$39+$G$40+$G$41+$G$42+$G$43+$G$44+$G$45+$G$46+$G$47+$G$61)/$C$32)-((($C$35*$E$35*$B$160+$G$40+$G$41)*$C$20/365)+($G$36*($C$20+30)/365)+($G$39*(($C$20*0.67)/365))+(($G$37+$G$38+$G$42+$G$43+$G$44+$G$46+$G$47)*($C$20*0.5)/365))*$F$48/$C$32</f>
        <v>-62.984923494237862</v>
      </c>
      <c r="E160" s="16">
        <f>(E$126*(($A$20+$C160)*0.01))-(($C$35*$E$35*$B$160+$G$36+$G$37+$G$38+$G$39+$G$40+$G$41+$G$42+$G$43+$G$44+$G$45+$G$46+$G$47+$G$61)/$C$32)-((($C$35*$E$35*$B$160+$G$40+$G$41)*$C$20/365)+($G$36*($C$20+30)/365)+($G$39*(($C$20*0.67)/365))+(($G$37+$G$38+$G$42+$G$43+$G$44+$G$46+$G$47)*($C$20*0.5)/365))*$F$48/$C$32</f>
        <v>-26.234923494237865</v>
      </c>
      <c r="F160" s="16">
        <f>(F$126*(($A$20+$C160)*0.01))-(($C$35*$E$35*$B$160+$G$36+$G$37+$G$38+$G$39+$G$40+$G$41+$G$42+$G$43+$G$44+$G$45+$G$46+$G$47+$G$61)/$C$32)-((($C$35*$E$35*$B$160+$G$40+$G$41)*$C$20/365)+($G$36*($C$20+30)/365)+($G$39*(($C$20*0.67)/365))+(($G$37+$G$38+$G$42+$G$43+$G$44+$G$46+$G$47)*($C$20*0.5)/365))*$F$48/$C$32</f>
        <v>10.515076505762135</v>
      </c>
      <c r="G160" s="16">
        <f>(G$126*(($A$20+$C160)*0.01))-(($C$35*$E$35*$B$160+$G$36+$G$37+$G$38+$G$39+$G$40+$G$41+$G$42+$G$43+$G$44+$G$45+$G$46+$G$47+$G$61)/$C$32)-((($C$35*$E$35*$B$160+$G$40+$G$41)*$C$20/365)+($G$36*($C$20+30)/365)+($G$39*(($C$20*0.67)/365))+(($G$37+$G$38+$G$42+$G$43+$G$44+$G$46+$G$47)*($C$20*0.5)/365))*$F$48/$C$32</f>
        <v>47.265076505762138</v>
      </c>
      <c r="H160" s="15">
        <f>(H$126*(($A$20+$C160)*0.01))-(($C$35*$E$35*$B$160+$G$36+$G$37+$G$38+$G$39+$G$40+$G$41+$G$42+$G$43+$G$44+$G$45+$G$46+$G$47+$G$61)/$C$32)-((($C$35*$E$35*$B$160+$G$40+$G$41)*$C$20/365)+($G$36*($C$20+30)/365)+($G$39*(($C$20*0.67)/365))+(($G$37+$G$38+$G$42+$G$43+$G$44+$G$46+$G$47)*($C$20*0.5)/365))*$F$48/$C$32</f>
        <v>84.015076505762252</v>
      </c>
      <c r="I160" s="8"/>
      <c r="J160" s="11"/>
    </row>
    <row r="161" spans="1:10" ht="15" x14ac:dyDescent="0.2">
      <c r="A161" s="5"/>
      <c r="B161" s="18"/>
      <c r="C161" s="19"/>
      <c r="D161" s="16"/>
      <c r="E161" s="16"/>
      <c r="F161" s="16"/>
      <c r="G161" s="16"/>
      <c r="H161" s="15"/>
      <c r="I161" s="8"/>
      <c r="J161" s="11"/>
    </row>
    <row r="162" spans="1:10" ht="15" x14ac:dyDescent="0.2">
      <c r="A162" s="5"/>
      <c r="B162" s="18"/>
      <c r="C162" s="17">
        <f>C148</f>
        <v>435</v>
      </c>
      <c r="D162" s="16">
        <f>(D$126*(($A$20+$C162)*0.01))-(($C$35*$E$35*$B$160+$G$36+$G$37+$G$38+$G$39+$G$40+$G$41+$G$42+$G$43+$G$44+$G$45+$G$46+$G$47+$G$61)/$C$32)-((($C$35*$E$35*$B$160+$G$40+$G$41)*$C$20/365)+($G$36*($C$20+30)/365)+($G$39*(($C$20*0.67)/365))+(($G$37+$G$38+$G$42+$G$43+$G$44+$G$46+$G$47)*($C$20*0.5)/365))*$F$48/$C$32</f>
        <v>-1.4849234942378651</v>
      </c>
      <c r="E162" s="16">
        <f>(E$126*(($A$20+$C162)*0.01))-(($C$35*$E$35*$B$160+$G$36+$G$37+$G$38+$G$39+$G$40+$G$41+$G$42+$G$43+$G$44+$G$45+$G$46+$G$47+$G$61)/$C$32)-((($C$35*$E$35*$B$160+$G$40+$G$41)*$C$20/365)+($G$36*($C$20+30)/365)+($G$39*(($C$20*0.67)/365))+(($G$37+$G$38+$G$42+$G$43+$G$44+$G$46+$G$47)*($C$20*0.5)/365))*$F$48/$C$32</f>
        <v>37.765076505762138</v>
      </c>
      <c r="F162" s="16">
        <f>(F$126*(($A$20+$C162)*0.01))-(($C$35*$E$35*$B$160+$G$36+$G$37+$G$38+$G$39+$G$40+$G$41+$G$42+$G$43+$G$44+$G$45+$G$46+$G$47+$G$61)/$C$32)-((($C$35*$E$35*$B$160+$G$40+$G$41)*$C$20/365)+($G$36*($C$20+30)/365)+($G$39*(($C$20*0.67)/365))+(($G$37+$G$38+$G$42+$G$43+$G$44+$G$46+$G$47)*($C$20*0.5)/365))*$F$48/$C$32</f>
        <v>77.015076505762252</v>
      </c>
      <c r="G162" s="16">
        <f>(G$126*(($A$20+$C162)*0.01))-(($C$35*$E$35*$B$160+$G$36+$G$37+$G$38+$G$39+$G$40+$G$41+$G$42+$G$43+$G$44+$G$45+$G$46+$G$47+$G$61)/$C$32)-((($C$35*$E$35*$B$160+$G$40+$G$41)*$C$20/365)+($G$36*($C$20+30)/365)+($G$39*(($C$20*0.67)/365))+(($G$37+$G$38+$G$42+$G$43+$G$44+$G$46+$G$47)*($C$20*0.5)/365))*$F$48/$C$32</f>
        <v>116.26507650576225</v>
      </c>
      <c r="H162" s="15">
        <f>(H$126*(($A$20+$C162)*0.01))-(($C$35*$E$35*$B$160+$G$36+$G$37+$G$38+$G$39+$G$40+$G$41+$G$42+$G$43+$G$44+$G$45+$G$46+$G$47+$G$61)/$C$32)-((($C$35*$E$35*$B$160+$G$40+$G$41)*$C$20/365)+($G$36*($C$20+30)/365)+($G$39*(($C$20*0.67)/365))+(($G$37+$G$38+$G$42+$G$43+$G$44+$G$46+$G$47)*($C$20*0.5)/365))*$F$48/$C$32</f>
        <v>155.51507650576224</v>
      </c>
      <c r="I162" s="8"/>
      <c r="J162" s="11"/>
    </row>
    <row r="163" spans="1:10" ht="15" x14ac:dyDescent="0.2">
      <c r="A163" s="5"/>
      <c r="B163" s="5"/>
      <c r="C163" s="5"/>
      <c r="D163" s="14"/>
      <c r="E163" s="13"/>
      <c r="F163" s="13"/>
      <c r="G163" s="13"/>
      <c r="H163" s="12"/>
      <c r="I163" s="3"/>
      <c r="J163" s="11"/>
    </row>
    <row r="164" spans="1:10" ht="15" x14ac:dyDescent="0.2">
      <c r="A164" s="5"/>
      <c r="B164" s="5"/>
      <c r="C164" s="5"/>
      <c r="D164" s="10" t="s">
        <v>4</v>
      </c>
      <c r="E164" s="5"/>
      <c r="F164" s="5"/>
      <c r="G164" s="5"/>
      <c r="H164" s="9"/>
      <c r="I164" s="8"/>
    </row>
    <row r="165" spans="1:10" ht="15" x14ac:dyDescent="0.2">
      <c r="A165" s="5"/>
      <c r="B165" s="5"/>
      <c r="C165" s="5"/>
      <c r="D165" s="5"/>
      <c r="E165" s="5"/>
      <c r="F165" s="5"/>
      <c r="G165" s="5"/>
      <c r="H165" s="9"/>
      <c r="I165" s="8"/>
    </row>
    <row r="166" spans="1:10" ht="15" x14ac:dyDescent="0.2">
      <c r="A166" s="5"/>
      <c r="B166" s="6" t="s">
        <v>3</v>
      </c>
      <c r="C166" s="5"/>
      <c r="D166" s="5"/>
      <c r="E166" s="5"/>
      <c r="F166" s="5"/>
      <c r="G166" s="5"/>
      <c r="H166" s="9"/>
      <c r="I166" s="8"/>
    </row>
    <row r="167" spans="1:10" ht="15" x14ac:dyDescent="0.2">
      <c r="A167" s="5"/>
      <c r="B167" s="6" t="s">
        <v>2</v>
      </c>
      <c r="C167" s="5"/>
      <c r="D167" s="5"/>
      <c r="E167" s="5"/>
      <c r="F167" s="5"/>
      <c r="G167" s="5"/>
      <c r="H167" s="5"/>
      <c r="I167" s="3"/>
    </row>
    <row r="168" spans="1:10" ht="15" x14ac:dyDescent="0.2">
      <c r="A168" s="5"/>
      <c r="B168" s="7" t="s">
        <v>1</v>
      </c>
      <c r="C168" s="5"/>
      <c r="D168" s="5"/>
      <c r="E168" s="5"/>
      <c r="F168" s="5"/>
      <c r="G168" s="5"/>
      <c r="H168" s="5"/>
      <c r="I168" s="3"/>
    </row>
    <row r="169" spans="1:10" ht="15" x14ac:dyDescent="0.2">
      <c r="A169" s="5"/>
      <c r="B169" s="6" t="s">
        <v>0</v>
      </c>
      <c r="C169" s="5"/>
      <c r="D169" s="5"/>
      <c r="E169" s="5"/>
      <c r="F169" s="5"/>
      <c r="G169" s="5"/>
      <c r="H169" s="5"/>
      <c r="I169" s="3"/>
    </row>
    <row r="170" spans="1:10" x14ac:dyDescent="0.2">
      <c r="A170" s="4"/>
      <c r="B170" s="4"/>
      <c r="C170" s="4"/>
      <c r="D170" s="4"/>
      <c r="E170" s="4"/>
      <c r="F170" s="4"/>
      <c r="G170" s="4"/>
      <c r="H170" s="4"/>
      <c r="I170" s="3"/>
    </row>
  </sheetData>
  <sheetProtection sheet="1" objects="1" scenarios="1" selectLockedCells="1"/>
  <printOptions horizontalCentered="1"/>
  <pageMargins left="0.64" right="0.5" top="0.5" bottom="0.25" header="0.5" footer="0.5"/>
  <pageSetup scale="6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Grz Lt Wt 2017</vt:lpstr>
      <vt:lpstr>'Grz Lt Wt 2017'!\AUTOEXEC</vt:lpstr>
      <vt:lpstr>'Grz Lt Wt 2017'!\l</vt:lpstr>
      <vt:lpstr>'Grz Lt Wt 2017'!\p</vt:lpstr>
      <vt:lpstr>'Grz Lt Wt 2017'!BTABLE</vt:lpstr>
      <vt:lpstr>'Grz Lt Wt 2017'!BTABLE1</vt:lpstr>
      <vt:lpstr>'Grz Lt Wt 2017'!FOOT</vt:lpstr>
      <vt:lpstr>'Grz Lt Wt 2017'!FOOT1</vt:lpstr>
      <vt:lpstr>'Grz Lt Wt 2017'!HELP</vt:lpstr>
      <vt:lpstr>'Grz Lt Wt 2017'!INVEST</vt:lpstr>
      <vt:lpstr>'Grz Lt Wt 2017'!Print_Area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Kelley</dc:creator>
  <cp:lastModifiedBy>William Kelley</cp:lastModifiedBy>
  <dcterms:created xsi:type="dcterms:W3CDTF">2017-08-28T17:48:16Z</dcterms:created>
  <dcterms:modified xsi:type="dcterms:W3CDTF">2017-08-28T18:13:51Z</dcterms:modified>
</cp:coreProperties>
</file>