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6" activeTab="0"/>
  </bookViews>
  <sheets>
    <sheet name="Preconditioning OBJs" sheetId="1" r:id="rId1"/>
    <sheet name="Order Buyers Want" sheetId="2" r:id="rId2"/>
    <sheet name="PrecondAlternatives" sheetId="3" r:id="rId3"/>
    <sheet name="PreconditioningAdv" sheetId="4" r:id="rId4"/>
    <sheet name="ReducedShrink n ADG" sheetId="5" r:id="rId5"/>
    <sheet name="ValueOfGain" sheetId="6" r:id="rId6"/>
    <sheet name="ValueOfGainPerUnit" sheetId="7" r:id="rId7"/>
    <sheet name="ValueOfGainPerUnit (2)" sheetId="8" r:id="rId8"/>
    <sheet name="ValueOfGainPerUnit (3)" sheetId="9" r:id="rId9"/>
    <sheet name="Cost of Gain" sheetId="10" r:id="rId10"/>
    <sheet name="PriceMargin" sheetId="11" r:id="rId11"/>
    <sheet name="Precond Eval Sensitivity" sheetId="12" r:id="rId12"/>
    <sheet name="PrecondBkg.Eval" sheetId="13" r:id="rId13"/>
    <sheet name="PrecondBkg.Eval Heavier Calves " sheetId="14" r:id="rId14"/>
    <sheet name="SoyhullPriceTrend" sheetId="15" r:id="rId15"/>
    <sheet name="Preconditioning OBJs (2)" sheetId="16" r:id="rId16"/>
    <sheet name="Non vs NonPrecondOnFarm" sheetId="17" r:id="rId17"/>
    <sheet name="PrecondEval 1 ChgStkP" sheetId="18" r:id="rId18"/>
    <sheet name="Sheet1" sheetId="19" r:id="rId19"/>
    <sheet name="Sheet2" sheetId="20" r:id="rId20"/>
  </sheets>
  <definedNames>
    <definedName name="_xlnm.Print_Area" localSheetId="9">'Cost of Gain'!$A$1:$M$17</definedName>
    <definedName name="_xlnm.Print_Area" localSheetId="16">'Non vs NonPrecondOnFarm'!$A$2:$H$78</definedName>
    <definedName name="_xlnm.Print_Area" localSheetId="11">'Precond Eval Sensitivity'!$A$1:$O$62</definedName>
    <definedName name="_xlnm.Print_Area" localSheetId="12">'PrecondBkg.Eval'!$A$1:$O$62</definedName>
    <definedName name="_xlnm.Print_Area" localSheetId="13">'PrecondBkg.Eval Heavier Calves '!$A$1:$O$63</definedName>
    <definedName name="_xlnm.Print_Area" localSheetId="17">'PrecondEval 1 ChgStkP'!#REF!</definedName>
    <definedName name="_xlnm.Print_Area" localSheetId="15">'Preconditioning OBJs (2)'!$A$3:$P$45</definedName>
    <definedName name="_xlnm.Print_Area" localSheetId="14">'SoyhullPriceTrend'!$A$68:$O$133</definedName>
  </definedNames>
  <calcPr fullCalcOnLoad="1"/>
</workbook>
</file>

<file path=xl/sharedStrings.xml><?xml version="1.0" encoding="utf-8"?>
<sst xmlns="http://schemas.openxmlformats.org/spreadsheetml/2006/main" count="604" uniqueCount="290">
  <si>
    <t>Item</t>
  </si>
  <si>
    <t>Initial Weight, Lbs.</t>
  </si>
  <si>
    <t>Days Of Preconditioning</t>
  </si>
  <si>
    <t>Average Daily Gain, Lbs./Hd./Day</t>
  </si>
  <si>
    <t>Gross Pay Weight, Lbs.</t>
  </si>
  <si>
    <t>Sorting Shrink, percent</t>
  </si>
  <si>
    <t>Loading Shrink, percent</t>
  </si>
  <si>
    <t>Pencil Shrink, percent</t>
  </si>
  <si>
    <t>Total Shrink, percent</t>
  </si>
  <si>
    <t>Total Shrink, Lbs.</t>
  </si>
  <si>
    <t>Net Pay Weight, Lbs.</t>
  </si>
  <si>
    <t>Sale Price, $/Cwt.</t>
  </si>
  <si>
    <t>Gross Receipts, $/Hd</t>
  </si>
  <si>
    <t>Sold After 45 Days</t>
  </si>
  <si>
    <t>Feeder Calves</t>
  </si>
  <si>
    <t>Days of Preconditioning</t>
  </si>
  <si>
    <t>Percent Feed Waste</t>
  </si>
  <si>
    <t>-</t>
  </si>
  <si>
    <t>Numer of Head</t>
  </si>
  <si>
    <t>Feed Cost, $/Hd</t>
  </si>
  <si>
    <t>Mineral Cost, $/Hd</t>
  </si>
  <si>
    <t>Death Loss Percent</t>
  </si>
  <si>
    <t>Beginning Weight, Lbs.</t>
  </si>
  <si>
    <t>Average Daily Gain, Lbs/Day/Hd.</t>
  </si>
  <si>
    <t>Ending Weight, Lbs</t>
  </si>
  <si>
    <t>Number of head</t>
  </si>
  <si>
    <t>Difference in Net Receipts, $/Hd</t>
  </si>
  <si>
    <t>Delta Feed Cost</t>
  </si>
  <si>
    <t>Feed Cost, $/ton</t>
  </si>
  <si>
    <t>Total Cost, $/Hd.</t>
  </si>
  <si>
    <t>Total Cost, $/Hd/Day</t>
  </si>
  <si>
    <t>Death Loss, $/Hd.</t>
  </si>
  <si>
    <t xml:space="preserve">VOG </t>
  </si>
  <si>
    <t>COG</t>
  </si>
  <si>
    <t>NVOG</t>
  </si>
  <si>
    <t>Net Receipts, $/Hd.</t>
  </si>
  <si>
    <t>Difference in Net Receipts, Total $ Per Group</t>
  </si>
  <si>
    <t>Preconditioning Cost, $/Hd.</t>
  </si>
  <si>
    <t>Net $/Hd.</t>
  </si>
  <si>
    <t xml:space="preserve">     Feeder Calves</t>
  </si>
  <si>
    <t xml:space="preserve">     Sold At Weaning</t>
  </si>
  <si>
    <t xml:space="preserve">     Non-Preconditioned</t>
  </si>
  <si>
    <t>Preconditioning Feeder Calves Decision Spreadsheet - Data Entry</t>
  </si>
  <si>
    <t>Deworm Cost, $/Hd</t>
  </si>
  <si>
    <t>of Preconditioning</t>
  </si>
  <si>
    <t>Feed &amp; Mineral Cost, $/Hd.</t>
  </si>
  <si>
    <t>Table 1.  An Evaluation of Non-Preconditioned and Preconditioned Feeder Calves</t>
  </si>
  <si>
    <t xml:space="preserve">Only change the numbers hi-lited in blue! </t>
  </si>
  <si>
    <t xml:space="preserve">The numbers in black have formulas embedded in the cell. </t>
  </si>
  <si>
    <t>Vaccinations &amp; Implant Cost, $/Hd</t>
  </si>
  <si>
    <t>Feed</t>
  </si>
  <si>
    <t>Cost</t>
  </si>
  <si>
    <t>$/Ton</t>
  </si>
  <si>
    <t>$/Lb.</t>
  </si>
  <si>
    <t>$/Hd.</t>
  </si>
  <si>
    <t>Transportation Cost, $/Hd</t>
  </si>
  <si>
    <t>Pounds of Feed Per Day - As Fed</t>
  </si>
  <si>
    <t>Transportation Shrink, percent</t>
  </si>
  <si>
    <t>Transportation Cost, $/Hd.</t>
  </si>
  <si>
    <t>Gathering/Penning Shrink, percent</t>
  </si>
  <si>
    <t>% Chg From Base</t>
  </si>
  <si>
    <t>Non-preconditioned Sales Price, $/Cwt</t>
  </si>
  <si>
    <t>Preconditioned Sales Price, $/Cwt</t>
  </si>
  <si>
    <t>Base</t>
  </si>
  <si>
    <t>Percent Return</t>
  </si>
  <si>
    <t>Dollar Increase/Hd</t>
  </si>
  <si>
    <t>Advantages</t>
  </si>
  <si>
    <t xml:space="preserve">    Shrink</t>
  </si>
  <si>
    <t xml:space="preserve">    Gain</t>
  </si>
  <si>
    <t xml:space="preserve">    Market Price</t>
  </si>
  <si>
    <t>Preconditioning</t>
  </si>
  <si>
    <t>Benefit-</t>
  </si>
  <si>
    <t>Cost Ratio</t>
  </si>
  <si>
    <t>Total</t>
  </si>
  <si>
    <t>Insurance Cost, $/Hd.</t>
  </si>
  <si>
    <t>Spend this much--&gt;</t>
  </si>
  <si>
    <t>To get this much--&gt;</t>
  </si>
  <si>
    <t>Price</t>
  </si>
  <si>
    <t>Difference</t>
  </si>
  <si>
    <t>$/Cwt</t>
  </si>
  <si>
    <t>Stocker</t>
  </si>
  <si>
    <t>Feeder</t>
  </si>
  <si>
    <t>Feed Cost Per Ton</t>
  </si>
  <si>
    <t>Delta Feed Cost Per Ton</t>
  </si>
  <si>
    <t>Table 1. Estimated net return per head from preconditioning feeder calves based on varying price margins and feed costs.</t>
  </si>
  <si>
    <t xml:space="preserve"> ------------------------ Feed Cost Per Ton -----------------------------------</t>
  </si>
  <si>
    <t>Feed Consumption, % of Avg. BW</t>
  </si>
  <si>
    <t>Labor Cost Per Head</t>
  </si>
  <si>
    <t>--------------------------------- $/Head or Group ---------------------------------------------------------------------</t>
  </si>
  <si>
    <t>Feed Cost Per Head</t>
  </si>
  <si>
    <t>Misc. Cost Per Head</t>
  </si>
  <si>
    <t>Total Cost Per Head</t>
  </si>
  <si>
    <t>Weaning Weight, Lbs.</t>
  </si>
  <si>
    <t>Non-preconditioned Sale Weight, Lbs.</t>
  </si>
  <si>
    <t>Percent Shrink, Non-preconditioned</t>
  </si>
  <si>
    <t>Percent Shrink, Preconditioned</t>
  </si>
  <si>
    <t>Margin</t>
  </si>
  <si>
    <t>Estimated Ending Weight, Lbs</t>
  </si>
  <si>
    <t>Adjusted Ending Sale Weight, Lbs.</t>
  </si>
  <si>
    <t>ADG</t>
  </si>
  <si>
    <t xml:space="preserve">Using </t>
  </si>
  <si>
    <t>Preconditioning Evaluation</t>
  </si>
  <si>
    <t xml:space="preserve">Facilities Cost Per Head </t>
  </si>
  <si>
    <t>Vaccination Cost Per Head</t>
  </si>
  <si>
    <t>Implant Cost Per Head</t>
  </si>
  <si>
    <t>Deworm Cost Per Head</t>
  </si>
  <si>
    <t>Mineral Cost Per Head</t>
  </si>
  <si>
    <t>Transportation Cost Per Head</t>
  </si>
  <si>
    <t>Preconditioning &amp; Backgrounding Evaluation</t>
  </si>
  <si>
    <t>Value of</t>
  </si>
  <si>
    <t>Gain</t>
  </si>
  <si>
    <t xml:space="preserve"> ---------------------------- Cost of Gain ($/Cwt.) ----------------------------------------------------------</t>
  </si>
  <si>
    <t>Vet./Med. Cost Per Head</t>
  </si>
  <si>
    <t>Interest &amp; Insurance Cost Per Head</t>
  </si>
  <si>
    <t>------------------------------------------------ Feed Cost ($/Ton) -----------------------------------------------------</t>
  </si>
  <si>
    <t>Table 2. Estimated cost of gain per hundredweight for preconditioning and backgrounding feeder calves based on varying price margins and feed costs.</t>
  </si>
  <si>
    <t>Number of Head</t>
  </si>
  <si>
    <t>Days of Precond. &amp; Backgrounding</t>
  </si>
  <si>
    <t>Percent Increase</t>
  </si>
  <si>
    <t xml:space="preserve"> ------------------------------------------------ Feed Cost Per Ton -----------------------------------</t>
  </si>
  <si>
    <t>Price Margin</t>
  </si>
  <si>
    <t>ADG is</t>
  </si>
  <si>
    <t>as an ending weight</t>
  </si>
  <si>
    <t>Feed Waste Percent</t>
  </si>
  <si>
    <t>Precondition and retain ownership</t>
  </si>
  <si>
    <t>Don't precondition - just sell them off the teat!</t>
  </si>
  <si>
    <t>Data Entry Hi-lited In Blue!</t>
  </si>
  <si>
    <t xml:space="preserve">Yardage Cost Per Head </t>
  </si>
  <si>
    <t>Data Entry Hi-Lited In Blue!</t>
  </si>
  <si>
    <t>Using</t>
  </si>
  <si>
    <t>beginning</t>
  </si>
  <si>
    <t>as a</t>
  </si>
  <si>
    <t xml:space="preserve">Lbs./Day - ADG is assumed from original weight of </t>
  </si>
  <si>
    <t>pounds.</t>
  </si>
  <si>
    <t>Premium</t>
  </si>
  <si>
    <t>Table 3. Estimated Net Value of Gain from preconditioning and backgrounding feeder cavles based on varying price margins and feed costs.</t>
  </si>
  <si>
    <t xml:space="preserve"> -------------------------------------------- Net Value of Gain ($/Cwt) ----------------------------------</t>
  </si>
  <si>
    <t>Precondition on summer grass/annual with supplements</t>
  </si>
  <si>
    <t>Precondition on summer grass/annuals without supplements</t>
  </si>
  <si>
    <t>Feeder Calf Management Alternatives:</t>
  </si>
  <si>
    <t>Precondition on forages - winter annuals for spring calvers (w/o supplements)</t>
  </si>
  <si>
    <t>Precondition on forages - winter annuals for spring calvers (w/ supplements)</t>
  </si>
  <si>
    <t>Weaned</t>
  </si>
  <si>
    <t>Source and age verified</t>
  </si>
  <si>
    <t>Animal Identification</t>
  </si>
  <si>
    <t>Med. &amp; Large Frame, 1-2 Muscle Score Feeder Calves</t>
  </si>
  <si>
    <t>Co-mingled cattle that are not in truckload lots that have no histroy of health or performance.</t>
  </si>
  <si>
    <t>are worth much less.</t>
  </si>
  <si>
    <t>What do feeder calf order buyers want?</t>
  </si>
  <si>
    <t>Feeder calf order buyers generally want a package of attributes.</t>
  </si>
  <si>
    <t>Feeder Calf Order buyers Want:</t>
  </si>
  <si>
    <t>Truckload lots (50,000 pounds)</t>
  </si>
  <si>
    <t>1</t>
  </si>
  <si>
    <t>Uniform feeders in quality and weight</t>
  </si>
  <si>
    <t>Health program</t>
  </si>
  <si>
    <t>Bunk broke and settled (repect fences, use to people, etc.)</t>
  </si>
  <si>
    <t>Weight</t>
  </si>
  <si>
    <t>Total $</t>
  </si>
  <si>
    <t>Feeder Calf Weight</t>
  </si>
  <si>
    <t>Feeder Cattle Weight</t>
  </si>
  <si>
    <t>Lbs./Hd.</t>
  </si>
  <si>
    <t>=</t>
  </si>
  <si>
    <t>/Lb.</t>
  </si>
  <si>
    <t xml:space="preserve">Value of Gain/Hd. </t>
  </si>
  <si>
    <t>/Hd.</t>
  </si>
  <si>
    <t>Value of Gain/Lb.</t>
  </si>
  <si>
    <t>How To Calculate The "Value of Gain"</t>
  </si>
  <si>
    <t>On Calculating Average Daily Gain - ADG</t>
  </si>
  <si>
    <t>Ending</t>
  </si>
  <si>
    <t>Before</t>
  </si>
  <si>
    <t>Shrink</t>
  </si>
  <si>
    <t>After</t>
  </si>
  <si>
    <t>Percent</t>
  </si>
  <si>
    <t>Lbs.</t>
  </si>
  <si>
    <t>Before Shrink</t>
  </si>
  <si>
    <t>After Shrink</t>
  </si>
  <si>
    <t>Beginning weight:</t>
  </si>
  <si>
    <t>Number</t>
  </si>
  <si>
    <t>of Days</t>
  </si>
  <si>
    <t>1.) Reduced Shrink</t>
  </si>
  <si>
    <t>2.) Economic Weight Gain</t>
  </si>
  <si>
    <t>3.) Market Price Premium</t>
  </si>
  <si>
    <t>Cost of Preconditioning</t>
  </si>
  <si>
    <t>Precond.</t>
  </si>
  <si>
    <t>Auction</t>
  </si>
  <si>
    <t>Mkt. Price</t>
  </si>
  <si>
    <t>??This works backwards on the non-preconditioned calf price.??</t>
  </si>
  <si>
    <t>Thoughts on Preconditioning 2008 Feeder Calves</t>
  </si>
  <si>
    <t>Identify some key factors affecting the profitability of preconditioning.</t>
  </si>
  <si>
    <t>Encourage each of you to watch these key factors as we approach the preconditioning period.</t>
  </si>
  <si>
    <t>***</t>
  </si>
  <si>
    <t>you to decide what is best for you and your beef operation.</t>
  </si>
  <si>
    <t>Make you aware that economic conditions have changed regarding the profitability of preconditioning feeder calves.</t>
  </si>
  <si>
    <t>Offer some suggestions as to what to look for as we approach the spring/summer preconditioning period.</t>
  </si>
  <si>
    <t>Today's Discussion Forum Objectives:</t>
  </si>
  <si>
    <t>1)</t>
  </si>
  <si>
    <t>2)</t>
  </si>
  <si>
    <t>3)</t>
  </si>
  <si>
    <t>4)</t>
  </si>
  <si>
    <t>Average Daily Gain</t>
  </si>
  <si>
    <t>The cost of gain currently exceeds the value of gain.</t>
  </si>
  <si>
    <t>Identify some key factors affecting the profitability of preconditioning. Under present conditions we need:</t>
  </si>
  <si>
    <t>Summary Thoughts on Preconditioning 2008 Feeder Calves</t>
  </si>
  <si>
    <t>Precondition only truckload units of feeder cattle</t>
  </si>
  <si>
    <t>Precondition the heavy end of your feeder calves</t>
  </si>
  <si>
    <t>http://www.ams.usda.gov/lsmnpubs/cfaal.htm</t>
  </si>
  <si>
    <t>http://futuresource.quote.com/</t>
  </si>
  <si>
    <t>Weekly AL Feeder Prices</t>
  </si>
  <si>
    <t>Daily CME Futures Prices</t>
  </si>
  <si>
    <t>Request Weekly AL Livestock Market News - See Byproduct Feed Prices</t>
  </si>
  <si>
    <t xml:space="preserve">  334/240-7180</t>
  </si>
  <si>
    <t>Look for pricing opportunities wgt feed purchases</t>
  </si>
  <si>
    <t>Look for any improvement in price premiums - weaned calves</t>
  </si>
  <si>
    <t>Darrell Rankins,  334/844-1546,  rankidl@auburn.edu</t>
  </si>
  <si>
    <t>Walt Prevatt,        334/844-5608,  prevajw@auburn.edu</t>
  </si>
  <si>
    <t>Year</t>
  </si>
  <si>
    <t>Week</t>
  </si>
  <si>
    <t>Average</t>
  </si>
  <si>
    <t>The 5-year average low prices for 2003-2007 occurred in May and June.</t>
  </si>
  <si>
    <t>Negative PI Test</t>
  </si>
  <si>
    <t>700-900 pound feeders</t>
  </si>
  <si>
    <t>REDUCED SHRINK</t>
  </si>
  <si>
    <t>Diff.</t>
  </si>
  <si>
    <t>Lbs. Diff.</t>
  </si>
  <si>
    <t>+</t>
  </si>
  <si>
    <t>How To Calculate The Cost of Gain</t>
  </si>
  <si>
    <t>Total Preconditioning Costs</t>
  </si>
  <si>
    <t>-------------------------------------</t>
  </si>
  <si>
    <t>Ending Shrunk Weight - Beginning Shrunk Weight</t>
  </si>
  <si>
    <t>Preconditioning Cost Per Head</t>
  </si>
  <si>
    <t>Number of Head Sold</t>
  </si>
  <si>
    <t>Shrunk Weight, Lbs. &amp; Price/Lb.</t>
  </si>
  <si>
    <t>Shrunk weight sold, lbs.</t>
  </si>
  <si>
    <t>Total Preconditioning Costs*</t>
  </si>
  <si>
    <t>Cost of Gain =</t>
  </si>
  <si>
    <t>Total Ending Lbs.</t>
  </si>
  <si>
    <t>Total Beginning Lbs.</t>
  </si>
  <si>
    <t>For The Cattle Farmer</t>
  </si>
  <si>
    <t>Three Preconditioning Advantages</t>
  </si>
  <si>
    <t xml:space="preserve">*The value of gain is usually not the sale price of the animal being sold.                  **The exception is when the purchase price = the sale price. </t>
  </si>
  <si>
    <t>&lt; $100/Ton</t>
  </si>
  <si>
    <t>Reduced Shrink</t>
  </si>
  <si>
    <t>Price Premium</t>
  </si>
  <si>
    <t>Death Loss</t>
  </si>
  <si>
    <t>Usually &lt; 0.5%</t>
  </si>
  <si>
    <t>Usually &lt; -$12/cwt.</t>
  </si>
  <si>
    <t>Usually &gt;$5/cwt.</t>
  </si>
  <si>
    <t>10% vs. 5%</t>
  </si>
  <si>
    <t>Usually &gt;2.25 ADG</t>
  </si>
  <si>
    <t>The information presented is educational and we want each of</t>
  </si>
  <si>
    <t>Precondition in a dry-lot on by-product feeds w/o broiler litter</t>
  </si>
  <si>
    <t>Precondition in a dry-lot on by-product feeds w/ broiler litter</t>
  </si>
  <si>
    <t>Alabama</t>
  </si>
  <si>
    <t>00</t>
  </si>
  <si>
    <t>01</t>
  </si>
  <si>
    <t>02</t>
  </si>
  <si>
    <t>03</t>
  </si>
  <si>
    <t>04</t>
  </si>
  <si>
    <t>05</t>
  </si>
  <si>
    <t>06</t>
  </si>
  <si>
    <t>07</t>
  </si>
  <si>
    <t>Avg.</t>
  </si>
  <si>
    <t>?</t>
  </si>
  <si>
    <t>Lbs/Hd.</t>
  </si>
  <si>
    <t>Tons/Group</t>
  </si>
  <si>
    <t>Interest Cost, $/Hd</t>
  </si>
  <si>
    <t>$/Hd/Mo.</t>
  </si>
  <si>
    <t>Insurance Cost, $/Hd</t>
  </si>
  <si>
    <t>$/Hd./Day</t>
  </si>
  <si>
    <t>Yardage Cost, $/Hd</t>
  </si>
  <si>
    <t>Yardage Cost, $/Hd.</t>
  </si>
  <si>
    <t>$/Group</t>
  </si>
  <si>
    <t>Mineral Cost, $/Hd.</t>
  </si>
  <si>
    <t>Vaccination Cost, $/Hd.</t>
  </si>
  <si>
    <t>Vet. / Med. Services, $/Hd.</t>
  </si>
  <si>
    <t>Vet. / Med. Services, $/Hd</t>
  </si>
  <si>
    <t>Shrunk Beginning Weight, Lbs.</t>
  </si>
  <si>
    <t>Shrunk Ending Weight, Lbs.</t>
  </si>
  <si>
    <t>Net Income, $/Hd</t>
  </si>
  <si>
    <t>Feed Cost Per Ton - As Fed</t>
  </si>
  <si>
    <t>*Add the value of dead animals to the total preconditioning cost.</t>
  </si>
  <si>
    <t>Precondition feeder calves that will gain &gt;2.25+ ADG</t>
  </si>
  <si>
    <t>Look for any price increases in feeder cattle prices - Sept.</t>
  </si>
  <si>
    <t>Advantage of Preconditioning</t>
  </si>
  <si>
    <t xml:space="preserve">*This evaluation does not include sale commissions. </t>
  </si>
  <si>
    <t>*This evaluation does not consider sales commissions.</t>
  </si>
  <si>
    <t>*This evaluation does not include sales commission.</t>
  </si>
  <si>
    <t>% Interest</t>
  </si>
  <si>
    <t>Est. Total $</t>
  </si>
  <si>
    <t>??????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</si>
</sst>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.000"/>
    <numFmt numFmtId="167" formatCode="&quot;$&quot;#,##0.0000"/>
    <numFmt numFmtId="168" formatCode="&quot;$&quot;#,##0.0_);\(&quot;$&quot;#,##0.0\)"/>
    <numFmt numFmtId="169" formatCode="0.0000"/>
    <numFmt numFmtId="170" formatCode="&quot;$&quot;#,##0.0"/>
    <numFmt numFmtId="171" formatCode="0.00000000"/>
    <numFmt numFmtId="172" formatCode="0.0000000"/>
    <numFmt numFmtId="173" formatCode="0.000000"/>
    <numFmt numFmtId="174" formatCode="0.00000"/>
    <numFmt numFmtId="175" formatCode="0.000"/>
    <numFmt numFmtId="176" formatCode="0.0"/>
    <numFmt numFmtId="177" formatCode="&quot;$&quot;#,##0"/>
    <numFmt numFmtId="178" formatCode="&quot;$&quot;#,##0.0_);[Red]\(&quot;$&quot;#,##0.0\)"/>
    <numFmt numFmtId="179" formatCode="&quot;$&quot;#,##0.000_);[Red]\(&quot;$&quot;#,##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4"/>
      <color indexed="12"/>
      <name val="Arial"/>
      <family val="2"/>
    </font>
    <font>
      <sz val="14"/>
      <color indexed="12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52"/>
      <name val="Arial"/>
      <family val="2"/>
    </font>
    <font>
      <sz val="16"/>
      <name val="Arial"/>
      <family val="0"/>
    </font>
    <font>
      <u val="single"/>
      <sz val="24"/>
      <name val="Arial"/>
      <family val="0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4"/>
      <name val="Arial"/>
      <family val="2"/>
    </font>
    <font>
      <b/>
      <sz val="24"/>
      <color indexed="12"/>
      <name val="Arial"/>
      <family val="2"/>
    </font>
    <font>
      <b/>
      <sz val="12"/>
      <color indexed="48"/>
      <name val="Arial"/>
      <family val="2"/>
    </font>
    <font>
      <sz val="20"/>
      <name val="Arial"/>
      <family val="0"/>
    </font>
    <font>
      <b/>
      <sz val="20"/>
      <color indexed="12"/>
      <name val="Arial"/>
      <family val="2"/>
    </font>
    <font>
      <u val="single"/>
      <sz val="20"/>
      <name val="Arial"/>
      <family val="0"/>
    </font>
    <font>
      <b/>
      <u val="single"/>
      <sz val="16"/>
      <name val="Arial"/>
      <family val="2"/>
    </font>
    <font>
      <b/>
      <u val="single"/>
      <sz val="26"/>
      <name val="Arial"/>
      <family val="2"/>
    </font>
    <font>
      <b/>
      <sz val="36"/>
      <name val="Arial"/>
      <family val="2"/>
    </font>
    <font>
      <b/>
      <u val="single"/>
      <sz val="20"/>
      <color indexed="12"/>
      <name val="Arial"/>
      <family val="2"/>
    </font>
    <font>
      <b/>
      <u val="single"/>
      <sz val="18"/>
      <color indexed="12"/>
      <name val="Arial"/>
      <family val="2"/>
    </font>
    <font>
      <sz val="12"/>
      <name val="Arial"/>
      <family val="0"/>
    </font>
    <font>
      <b/>
      <sz val="9.75"/>
      <name val="Arial"/>
      <family val="2"/>
    </font>
    <font>
      <b/>
      <u val="single"/>
      <sz val="36"/>
      <name val="Arial"/>
      <family val="0"/>
    </font>
    <font>
      <sz val="36"/>
      <name val="Arial"/>
      <family val="0"/>
    </font>
    <font>
      <b/>
      <sz val="20"/>
      <color indexed="10"/>
      <name val="Arial"/>
      <family val="2"/>
    </font>
    <font>
      <u val="single"/>
      <sz val="14"/>
      <name val="Arial"/>
      <family val="0"/>
    </font>
    <font>
      <b/>
      <sz val="20"/>
      <color indexed="11"/>
      <name val="Arial"/>
      <family val="2"/>
    </font>
    <font>
      <b/>
      <sz val="18"/>
      <color indexed="12"/>
      <name val="Arial"/>
      <family val="2"/>
    </font>
    <font>
      <b/>
      <u val="single"/>
      <sz val="28"/>
      <name val="Arial"/>
      <family val="2"/>
    </font>
    <font>
      <sz val="8"/>
      <color indexed="12"/>
      <name val="Arial"/>
      <family val="0"/>
    </font>
    <font>
      <b/>
      <u val="single"/>
      <sz val="18"/>
      <name val="Arial"/>
      <family val="2"/>
    </font>
    <font>
      <b/>
      <sz val="10.25"/>
      <name val="Arial"/>
      <family val="2"/>
    </font>
    <font>
      <b/>
      <sz val="21.75"/>
      <name val="Arial"/>
      <family val="0"/>
    </font>
    <font>
      <b/>
      <sz val="18.25"/>
      <name val="Arial"/>
      <family val="0"/>
    </font>
    <font>
      <sz val="18.25"/>
      <name val="Arial"/>
      <family val="0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/>
    </xf>
    <xf numFmtId="10" fontId="4" fillId="0" borderId="0" xfId="21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8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65" fontId="4" fillId="0" borderId="0" xfId="17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5" fontId="9" fillId="0" borderId="0" xfId="17" applyNumberFormat="1" applyFont="1" applyAlignment="1">
      <alignment/>
    </xf>
    <xf numFmtId="0" fontId="10" fillId="0" borderId="1" xfId="0" applyFont="1" applyBorder="1" applyAlignment="1">
      <alignment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right"/>
    </xf>
    <xf numFmtId="165" fontId="9" fillId="0" borderId="0" xfId="0" applyNumberFormat="1" applyFont="1" applyAlignment="1">
      <alignment/>
    </xf>
    <xf numFmtId="165" fontId="9" fillId="0" borderId="0" xfId="17" applyNumberFormat="1" applyFont="1" applyAlignment="1">
      <alignment vertical="center"/>
    </xf>
    <xf numFmtId="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8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7" fontId="13" fillId="0" borderId="0" xfId="17" applyNumberFormat="1" applyFont="1" applyAlignment="1">
      <alignment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5" fontId="4" fillId="0" borderId="0" xfId="17" applyNumberFormat="1" applyFont="1" applyAlignment="1">
      <alignment horizontal="center"/>
    </xf>
    <xf numFmtId="10" fontId="4" fillId="0" borderId="0" xfId="21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9" fillId="0" borderId="0" xfId="17" applyNumberFormat="1" applyFont="1" applyAlignment="1">
      <alignment horizontal="right"/>
    </xf>
    <xf numFmtId="165" fontId="0" fillId="0" borderId="0" xfId="0" applyNumberFormat="1" applyAlignment="1">
      <alignment/>
    </xf>
    <xf numFmtId="165" fontId="14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9" fontId="15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77" fontId="9" fillId="0" borderId="0" xfId="17" applyNumberFormat="1" applyFont="1" applyAlignment="1">
      <alignment/>
    </xf>
    <xf numFmtId="0" fontId="2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/>
    </xf>
    <xf numFmtId="0" fontId="15" fillId="0" borderId="0" xfId="0" applyFont="1" applyFill="1" applyBorder="1" applyAlignment="1">
      <alignment/>
    </xf>
    <xf numFmtId="177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2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5" fontId="15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165" fontId="15" fillId="0" borderId="0" xfId="0" applyNumberFormat="1" applyFont="1" applyAlignment="1" quotePrefix="1">
      <alignment/>
    </xf>
    <xf numFmtId="2" fontId="14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6" fontId="1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5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8" fillId="0" borderId="0" xfId="0" applyFont="1" applyAlignment="1">
      <alignment/>
    </xf>
    <xf numFmtId="177" fontId="12" fillId="0" borderId="0" xfId="0" applyNumberFormat="1" applyFont="1" applyAlignment="1">
      <alignment/>
    </xf>
    <xf numFmtId="177" fontId="15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0" fontId="16" fillId="0" borderId="0" xfId="0" applyFont="1" applyAlignment="1">
      <alignment/>
    </xf>
    <xf numFmtId="177" fontId="0" fillId="0" borderId="0" xfId="0" applyNumberFormat="1" applyAlignment="1">
      <alignment/>
    </xf>
    <xf numFmtId="0" fontId="19" fillId="0" borderId="0" xfId="0" applyFont="1" applyAlignment="1">
      <alignment horizontal="right"/>
    </xf>
    <xf numFmtId="9" fontId="19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166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177" fontId="20" fillId="0" borderId="1" xfId="0" applyNumberFormat="1" applyFont="1" applyBorder="1" applyAlignment="1">
      <alignment/>
    </xf>
    <xf numFmtId="0" fontId="15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1" fontId="2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17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5" fontId="17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177" fontId="17" fillId="0" borderId="8" xfId="0" applyNumberFormat="1" applyFont="1" applyBorder="1" applyAlignment="1" quotePrefix="1">
      <alignment/>
    </xf>
    <xf numFmtId="177" fontId="17" fillId="0" borderId="8" xfId="0" applyNumberFormat="1" applyFont="1" applyBorder="1" applyAlignment="1">
      <alignment/>
    </xf>
    <xf numFmtId="0" fontId="17" fillId="0" borderId="8" xfId="0" applyFont="1" applyBorder="1" applyAlignment="1" quotePrefix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 quotePrefix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5" fontId="29" fillId="0" borderId="0" xfId="0" applyNumberFormat="1" applyFont="1" applyAlignment="1">
      <alignment/>
    </xf>
    <xf numFmtId="0" fontId="30" fillId="3" borderId="0" xfId="0" applyFont="1" applyFill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9" fontId="32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2" fontId="6" fillId="2" borderId="9" xfId="0" applyNumberFormat="1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2" fontId="6" fillId="2" borderId="11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2" fontId="6" fillId="2" borderId="12" xfId="0" applyNumberFormat="1" applyFont="1" applyFill="1" applyBorder="1" applyAlignment="1">
      <alignment/>
    </xf>
    <xf numFmtId="2" fontId="6" fillId="2" borderId="8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9" fontId="32" fillId="0" borderId="0" xfId="0" applyNumberFormat="1" applyFont="1" applyAlignment="1">
      <alignment/>
    </xf>
    <xf numFmtId="2" fontId="18" fillId="2" borderId="10" xfId="0" applyNumberFormat="1" applyFont="1" applyFill="1" applyBorder="1" applyAlignment="1">
      <alignment/>
    </xf>
    <xf numFmtId="2" fontId="18" fillId="2" borderId="0" xfId="0" applyNumberFormat="1" applyFont="1" applyFill="1" applyBorder="1" applyAlignment="1">
      <alignment/>
    </xf>
    <xf numFmtId="2" fontId="18" fillId="2" borderId="8" xfId="0" applyNumberFormat="1" applyFont="1" applyFill="1" applyBorder="1" applyAlignment="1">
      <alignment/>
    </xf>
    <xf numFmtId="0" fontId="18" fillId="2" borderId="13" xfId="0" applyFont="1" applyFill="1" applyBorder="1" applyAlignment="1">
      <alignment/>
    </xf>
    <xf numFmtId="0" fontId="18" fillId="2" borderId="14" xfId="0" applyFont="1" applyFill="1" applyBorder="1" applyAlignment="1">
      <alignment/>
    </xf>
    <xf numFmtId="0" fontId="18" fillId="2" borderId="15" xfId="0" applyFont="1" applyFill="1" applyBorder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17" fillId="0" borderId="0" xfId="0" applyFont="1" applyFill="1" applyAlignment="1" quotePrefix="1">
      <alignment horizontal="center"/>
    </xf>
    <xf numFmtId="0" fontId="17" fillId="0" borderId="0" xfId="0" applyFont="1" applyFill="1" applyAlignment="1" quotePrefix="1">
      <alignment/>
    </xf>
    <xf numFmtId="0" fontId="24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7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 quotePrefix="1">
      <alignment horizontal="center"/>
    </xf>
    <xf numFmtId="177" fontId="18" fillId="0" borderId="0" xfId="0" applyNumberFormat="1" applyFont="1" applyFill="1" applyBorder="1" applyAlignment="1">
      <alignment/>
    </xf>
    <xf numFmtId="0" fontId="18" fillId="0" borderId="0" xfId="0" applyFont="1" applyFill="1" applyAlignment="1" quotePrefix="1">
      <alignment horizontal="center"/>
    </xf>
    <xf numFmtId="165" fontId="18" fillId="0" borderId="0" xfId="0" applyNumberFormat="1" applyFont="1" applyFill="1" applyAlignment="1">
      <alignment/>
    </xf>
    <xf numFmtId="0" fontId="18" fillId="0" borderId="0" xfId="0" applyFont="1" applyFill="1" applyAlignment="1" quotePrefix="1">
      <alignment/>
    </xf>
    <xf numFmtId="0" fontId="34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177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65" fontId="17" fillId="2" borderId="0" xfId="0" applyNumberFormat="1" applyFont="1" applyFill="1" applyAlignment="1">
      <alignment/>
    </xf>
    <xf numFmtId="165" fontId="9" fillId="0" borderId="0" xfId="17" applyNumberFormat="1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5" xfId="17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36" fillId="0" borderId="0" xfId="0" applyFont="1" applyAlignment="1">
      <alignment horizontal="center"/>
    </xf>
    <xf numFmtId="0" fontId="37" fillId="2" borderId="0" xfId="20" applyFont="1" applyFill="1" applyAlignment="1">
      <alignment/>
    </xf>
    <xf numFmtId="0" fontId="38" fillId="2" borderId="0" xfId="2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8" fillId="0" borderId="0" xfId="0" applyFont="1" applyAlignment="1" quotePrefix="1">
      <alignment/>
    </xf>
    <xf numFmtId="165" fontId="17" fillId="0" borderId="0" xfId="0" applyNumberFormat="1" applyFont="1" applyFill="1" applyAlignment="1">
      <alignment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 quotePrefix="1">
      <alignment/>
    </xf>
    <xf numFmtId="0" fontId="36" fillId="0" borderId="0" xfId="0" applyFont="1" applyFill="1" applyAlignment="1" quotePrefix="1">
      <alignment horizontal="center"/>
    </xf>
    <xf numFmtId="177" fontId="3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36" fillId="2" borderId="0" xfId="0" applyFont="1" applyFill="1" applyAlignment="1">
      <alignment/>
    </xf>
    <xf numFmtId="0" fontId="42" fillId="2" borderId="0" xfId="0" applyFont="1" applyFill="1" applyAlignment="1">
      <alignment/>
    </xf>
    <xf numFmtId="177" fontId="36" fillId="2" borderId="0" xfId="0" applyNumberFormat="1" applyFont="1" applyFill="1" applyBorder="1" applyAlignment="1" quotePrefix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31" fillId="0" borderId="0" xfId="0" applyFont="1" applyAlignment="1" quotePrefix="1">
      <alignment horizontal="right"/>
    </xf>
    <xf numFmtId="0" fontId="20" fillId="0" borderId="0" xfId="0" applyFont="1" applyAlignment="1">
      <alignment horizontal="left"/>
    </xf>
    <xf numFmtId="0" fontId="43" fillId="0" borderId="0" xfId="0" applyFont="1" applyAlignment="1">
      <alignment/>
    </xf>
    <xf numFmtId="0" fontId="34" fillId="0" borderId="0" xfId="0" applyFont="1" applyAlignment="1">
      <alignment/>
    </xf>
    <xf numFmtId="0" fontId="47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65" fontId="6" fillId="0" borderId="0" xfId="0" applyNumberFormat="1" applyFont="1" applyAlignment="1" quotePrefix="1">
      <alignment horizontal="center"/>
    </xf>
    <xf numFmtId="0" fontId="1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 quotePrefix="1">
      <alignment horizontal="center"/>
    </xf>
    <xf numFmtId="177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165" fontId="21" fillId="0" borderId="0" xfId="0" applyNumberFormat="1" applyFont="1" applyAlignment="1">
      <alignment horizontal="left"/>
    </xf>
    <xf numFmtId="0" fontId="17" fillId="2" borderId="0" xfId="0" applyFont="1" applyFill="1" applyAlignment="1" quotePrefix="1">
      <alignment/>
    </xf>
    <xf numFmtId="165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0" fontId="49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42" fillId="0" borderId="9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8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36" fillId="0" borderId="0" xfId="0" applyFont="1" applyFill="1" applyBorder="1" applyAlignment="1" quotePrefix="1">
      <alignment/>
    </xf>
    <xf numFmtId="177" fontId="36" fillId="0" borderId="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2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7" fillId="0" borderId="0" xfId="2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9" fontId="15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4" fillId="0" borderId="0" xfId="0" applyNumberFormat="1" applyFont="1" applyAlignment="1">
      <alignment horizontal="center"/>
    </xf>
    <xf numFmtId="10" fontId="5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12" fillId="0" borderId="8" xfId="0" applyFont="1" applyBorder="1" applyAlignment="1">
      <alignment horizontal="center"/>
    </xf>
    <xf numFmtId="7" fontId="1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right"/>
    </xf>
    <xf numFmtId="165" fontId="12" fillId="0" borderId="0" xfId="0" applyNumberFormat="1" applyFont="1" applyFill="1" applyAlignment="1">
      <alignment/>
    </xf>
    <xf numFmtId="165" fontId="20" fillId="0" borderId="0" xfId="0" applyNumberFormat="1" applyFont="1" applyFill="1" applyAlignment="1">
      <alignment horizontal="center"/>
    </xf>
    <xf numFmtId="6" fontId="12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165" fontId="56" fillId="0" borderId="0" xfId="17" applyNumberFormat="1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46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Figure 1. Feeder Calf Price Margins, Preconditioned Minus AL Auction, 1997-2007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FF00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PriceMargin!$G$41:$G$52</c:f>
              <c:strCache>
                <c:ptCount val="12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Avg.</c:v>
                </c:pt>
              </c:strCache>
            </c:strRef>
          </c:cat>
          <c:val>
            <c:numRef>
              <c:f>PriceMargin!$F$41:$F$52</c:f>
              <c:numCache>
                <c:ptCount val="12"/>
                <c:pt idx="0">
                  <c:v>7.420000000000002</c:v>
                </c:pt>
                <c:pt idx="1">
                  <c:v>8.119999999999997</c:v>
                </c:pt>
                <c:pt idx="2">
                  <c:v>6.22999999999999</c:v>
                </c:pt>
                <c:pt idx="3">
                  <c:v>9.689999999999998</c:v>
                </c:pt>
                <c:pt idx="4">
                  <c:v>7.700000000000003</c:v>
                </c:pt>
                <c:pt idx="5">
                  <c:v>2.3200000000000074</c:v>
                </c:pt>
                <c:pt idx="6">
                  <c:v>4.349999999999994</c:v>
                </c:pt>
                <c:pt idx="7">
                  <c:v>6.530000000000001</c:v>
                </c:pt>
                <c:pt idx="8">
                  <c:v>-0.8400000000000034</c:v>
                </c:pt>
                <c:pt idx="9">
                  <c:v>6.299999999999997</c:v>
                </c:pt>
                <c:pt idx="10">
                  <c:v>7.825000000000003</c:v>
                </c:pt>
                <c:pt idx="11">
                  <c:v>5.967727272727271</c:v>
                </c:pt>
              </c:numCache>
            </c:numRef>
          </c:val>
        </c:ser>
        <c:axId val="41444988"/>
        <c:axId val="37460573"/>
      </c:barChart>
      <c:catAx>
        <c:axId val="4144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460573"/>
        <c:crosses val="autoZero"/>
        <c:auto val="1"/>
        <c:lblOffset val="100"/>
        <c:noMultiLvlLbl val="0"/>
      </c:catAx>
      <c:valAx>
        <c:axId val="37460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Dollars Per Cwt.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4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1. Weekly Soybean Hull Prices, $/Ton, FOB, Memphis, 2003-2007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SoyhullPriceTrend!$B$11:$B$62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SoyhullPriceTrend!$C$11:$C$62</c:f>
              <c:numCache>
                <c:ptCount val="52"/>
                <c:pt idx="0">
                  <c:v>105</c:v>
                </c:pt>
                <c:pt idx="1">
                  <c:v>110</c:v>
                </c:pt>
                <c:pt idx="2">
                  <c:v>106.5</c:v>
                </c:pt>
                <c:pt idx="3">
                  <c:v>102.5</c:v>
                </c:pt>
                <c:pt idx="4">
                  <c:v>95</c:v>
                </c:pt>
                <c:pt idx="5">
                  <c:v>95</c:v>
                </c:pt>
                <c:pt idx="6">
                  <c:v>92</c:v>
                </c:pt>
                <c:pt idx="7">
                  <c:v>92</c:v>
                </c:pt>
                <c:pt idx="8">
                  <c:v>82.5</c:v>
                </c:pt>
                <c:pt idx="9">
                  <c:v>82.5</c:v>
                </c:pt>
                <c:pt idx="10">
                  <c:v>80.5</c:v>
                </c:pt>
                <c:pt idx="11">
                  <c:v>75.5</c:v>
                </c:pt>
                <c:pt idx="12">
                  <c:v>73.5</c:v>
                </c:pt>
                <c:pt idx="13">
                  <c:v>75</c:v>
                </c:pt>
                <c:pt idx="14">
                  <c:v>67.5</c:v>
                </c:pt>
                <c:pt idx="15">
                  <c:v>74</c:v>
                </c:pt>
                <c:pt idx="16">
                  <c:v>74</c:v>
                </c:pt>
                <c:pt idx="17">
                  <c:v>73.5</c:v>
                </c:pt>
                <c:pt idx="18">
                  <c:v>69</c:v>
                </c:pt>
                <c:pt idx="19">
                  <c:v>67.5</c:v>
                </c:pt>
                <c:pt idx="20">
                  <c:v>66.5</c:v>
                </c:pt>
                <c:pt idx="21">
                  <c:v>66.5</c:v>
                </c:pt>
                <c:pt idx="22">
                  <c:v>66.5</c:v>
                </c:pt>
                <c:pt idx="23">
                  <c:v>62.5</c:v>
                </c:pt>
                <c:pt idx="24">
                  <c:v>65</c:v>
                </c:pt>
                <c:pt idx="25">
                  <c:v>65</c:v>
                </c:pt>
                <c:pt idx="26">
                  <c:v>69</c:v>
                </c:pt>
                <c:pt idx="27">
                  <c:v>69</c:v>
                </c:pt>
                <c:pt idx="28">
                  <c:v>70</c:v>
                </c:pt>
                <c:pt idx="29">
                  <c:v>70</c:v>
                </c:pt>
                <c:pt idx="30">
                  <c:v>72.5</c:v>
                </c:pt>
                <c:pt idx="31">
                  <c:v>67.5</c:v>
                </c:pt>
                <c:pt idx="32">
                  <c:v>68.5</c:v>
                </c:pt>
                <c:pt idx="33">
                  <c:v>71.5</c:v>
                </c:pt>
                <c:pt idx="34">
                  <c:v>75</c:v>
                </c:pt>
                <c:pt idx="35">
                  <c:v>75</c:v>
                </c:pt>
                <c:pt idx="36">
                  <c:v>76.5</c:v>
                </c:pt>
                <c:pt idx="37">
                  <c:v>77.5</c:v>
                </c:pt>
                <c:pt idx="38">
                  <c:v>76.5</c:v>
                </c:pt>
                <c:pt idx="39">
                  <c:v>77.5</c:v>
                </c:pt>
                <c:pt idx="40">
                  <c:v>77</c:v>
                </c:pt>
                <c:pt idx="41">
                  <c:v>79.5</c:v>
                </c:pt>
                <c:pt idx="42">
                  <c:v>93.5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92.5</c:v>
                </c:pt>
                <c:pt idx="47">
                  <c:v>91</c:v>
                </c:pt>
                <c:pt idx="48">
                  <c:v>89</c:v>
                </c:pt>
                <c:pt idx="49">
                  <c:v>88</c:v>
                </c:pt>
                <c:pt idx="50">
                  <c:v>91</c:v>
                </c:pt>
                <c:pt idx="51">
                  <c:v>91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SoyhullPriceTrend!$B$11:$B$62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SoyhullPriceTrend!$D$11:$D$62</c:f>
              <c:numCache>
                <c:ptCount val="52"/>
                <c:pt idx="0">
                  <c:v>90.5</c:v>
                </c:pt>
                <c:pt idx="1">
                  <c:v>89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91</c:v>
                </c:pt>
                <c:pt idx="6">
                  <c:v>90</c:v>
                </c:pt>
                <c:pt idx="7">
                  <c:v>89.5</c:v>
                </c:pt>
                <c:pt idx="8">
                  <c:v>87.5</c:v>
                </c:pt>
                <c:pt idx="9">
                  <c:v>89.5</c:v>
                </c:pt>
                <c:pt idx="10">
                  <c:v>87.5</c:v>
                </c:pt>
                <c:pt idx="11">
                  <c:v>87.5</c:v>
                </c:pt>
                <c:pt idx="12">
                  <c:v>88</c:v>
                </c:pt>
                <c:pt idx="13">
                  <c:v>86</c:v>
                </c:pt>
                <c:pt idx="14">
                  <c:v>82.5</c:v>
                </c:pt>
                <c:pt idx="15">
                  <c:v>82.5</c:v>
                </c:pt>
                <c:pt idx="16">
                  <c:v>85</c:v>
                </c:pt>
                <c:pt idx="17">
                  <c:v>92.5</c:v>
                </c:pt>
                <c:pt idx="18">
                  <c:v>90</c:v>
                </c:pt>
                <c:pt idx="19">
                  <c:v>92</c:v>
                </c:pt>
                <c:pt idx="20">
                  <c:v>92</c:v>
                </c:pt>
                <c:pt idx="21">
                  <c:v>90</c:v>
                </c:pt>
                <c:pt idx="22">
                  <c:v>91</c:v>
                </c:pt>
                <c:pt idx="23">
                  <c:v>90</c:v>
                </c:pt>
                <c:pt idx="24">
                  <c:v>90</c:v>
                </c:pt>
                <c:pt idx="25">
                  <c:v>92</c:v>
                </c:pt>
                <c:pt idx="26">
                  <c:v>92</c:v>
                </c:pt>
                <c:pt idx="27">
                  <c:v>90</c:v>
                </c:pt>
                <c:pt idx="28">
                  <c:v>90</c:v>
                </c:pt>
                <c:pt idx="29">
                  <c:v>89</c:v>
                </c:pt>
                <c:pt idx="30">
                  <c:v>85</c:v>
                </c:pt>
                <c:pt idx="31">
                  <c:v>83</c:v>
                </c:pt>
                <c:pt idx="32">
                  <c:v>82.5</c:v>
                </c:pt>
                <c:pt idx="33">
                  <c:v>77.5</c:v>
                </c:pt>
                <c:pt idx="34">
                  <c:v>71.5</c:v>
                </c:pt>
                <c:pt idx="35">
                  <c:v>75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75</c:v>
                </c:pt>
                <c:pt idx="40">
                  <c:v>75</c:v>
                </c:pt>
                <c:pt idx="41">
                  <c:v>74</c:v>
                </c:pt>
                <c:pt idx="42">
                  <c:v>74</c:v>
                </c:pt>
                <c:pt idx="43">
                  <c:v>73.5</c:v>
                </c:pt>
                <c:pt idx="44">
                  <c:v>72.5</c:v>
                </c:pt>
                <c:pt idx="45">
                  <c:v>69.5</c:v>
                </c:pt>
                <c:pt idx="46">
                  <c:v>69.5</c:v>
                </c:pt>
                <c:pt idx="47">
                  <c:v>73</c:v>
                </c:pt>
                <c:pt idx="48">
                  <c:v>73</c:v>
                </c:pt>
                <c:pt idx="49">
                  <c:v>75.5</c:v>
                </c:pt>
                <c:pt idx="50">
                  <c:v>74</c:v>
                </c:pt>
                <c:pt idx="51">
                  <c:v>75.5</c:v>
                </c:pt>
              </c:numCache>
            </c:numRef>
          </c:val>
          <c:smooth val="0"/>
        </c:ser>
        <c:ser>
          <c:idx val="2"/>
          <c:order val="2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SoyhullPriceTrend!$B$11:$B$62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SoyhullPriceTrend!$E$11:$E$62</c:f>
              <c:numCache>
                <c:ptCount val="52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77.5</c:v>
                </c:pt>
                <c:pt idx="5">
                  <c:v>90</c:v>
                </c:pt>
                <c:pt idx="6">
                  <c:v>95</c:v>
                </c:pt>
                <c:pt idx="7">
                  <c:v>94.5</c:v>
                </c:pt>
                <c:pt idx="8">
                  <c:v>92</c:v>
                </c:pt>
                <c:pt idx="9">
                  <c:v>90</c:v>
                </c:pt>
                <c:pt idx="10">
                  <c:v>90</c:v>
                </c:pt>
                <c:pt idx="11">
                  <c:v>88</c:v>
                </c:pt>
                <c:pt idx="12">
                  <c:v>89</c:v>
                </c:pt>
                <c:pt idx="13">
                  <c:v>85.5</c:v>
                </c:pt>
                <c:pt idx="14">
                  <c:v>83.5</c:v>
                </c:pt>
                <c:pt idx="15">
                  <c:v>83.5</c:v>
                </c:pt>
                <c:pt idx="16">
                  <c:v>72.5</c:v>
                </c:pt>
                <c:pt idx="17">
                  <c:v>67</c:v>
                </c:pt>
                <c:pt idx="18">
                  <c:v>69</c:v>
                </c:pt>
                <c:pt idx="19">
                  <c:v>67.5</c:v>
                </c:pt>
                <c:pt idx="20">
                  <c:v>67.5</c:v>
                </c:pt>
                <c:pt idx="21">
                  <c:v>65</c:v>
                </c:pt>
                <c:pt idx="22">
                  <c:v>62.5</c:v>
                </c:pt>
                <c:pt idx="23">
                  <c:v>65</c:v>
                </c:pt>
                <c:pt idx="24">
                  <c:v>65</c:v>
                </c:pt>
                <c:pt idx="25">
                  <c:v>68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  <c:pt idx="31">
                  <c:v>80</c:v>
                </c:pt>
                <c:pt idx="32">
                  <c:v>90</c:v>
                </c:pt>
                <c:pt idx="33">
                  <c:v>87</c:v>
                </c:pt>
                <c:pt idx="34">
                  <c:v>85</c:v>
                </c:pt>
                <c:pt idx="35">
                  <c:v>85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92</c:v>
                </c:pt>
                <c:pt idx="43">
                  <c:v>92</c:v>
                </c:pt>
                <c:pt idx="44">
                  <c:v>92</c:v>
                </c:pt>
                <c:pt idx="45">
                  <c:v>90</c:v>
                </c:pt>
                <c:pt idx="46">
                  <c:v>90</c:v>
                </c:pt>
                <c:pt idx="47">
                  <c:v>92</c:v>
                </c:pt>
                <c:pt idx="48">
                  <c:v>90</c:v>
                </c:pt>
                <c:pt idx="49">
                  <c:v>70</c:v>
                </c:pt>
                <c:pt idx="50">
                  <c:v>95</c:v>
                </c:pt>
                <c:pt idx="51">
                  <c:v>97</c:v>
                </c:pt>
              </c:numCache>
            </c:numRef>
          </c:val>
          <c:smooth val="0"/>
        </c:ser>
        <c:ser>
          <c:idx val="3"/>
          <c:order val="3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SoyhullPriceTrend!$B$11:$B$62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SoyhullPriceTrend!$F$11:$F$62</c:f>
              <c:numCache>
                <c:ptCount val="52"/>
                <c:pt idx="0">
                  <c:v>102</c:v>
                </c:pt>
                <c:pt idx="1">
                  <c:v>100</c:v>
                </c:pt>
                <c:pt idx="2">
                  <c:v>100</c:v>
                </c:pt>
                <c:pt idx="3">
                  <c:v>95</c:v>
                </c:pt>
                <c:pt idx="4">
                  <c:v>95</c:v>
                </c:pt>
                <c:pt idx="5">
                  <c:v>93</c:v>
                </c:pt>
                <c:pt idx="6">
                  <c:v>93</c:v>
                </c:pt>
                <c:pt idx="7">
                  <c:v>93</c:v>
                </c:pt>
                <c:pt idx="8">
                  <c:v>92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88</c:v>
                </c:pt>
                <c:pt idx="13">
                  <c:v>88</c:v>
                </c:pt>
                <c:pt idx="14">
                  <c:v>87</c:v>
                </c:pt>
                <c:pt idx="15">
                  <c:v>87</c:v>
                </c:pt>
                <c:pt idx="16">
                  <c:v>85</c:v>
                </c:pt>
                <c:pt idx="17">
                  <c:v>80</c:v>
                </c:pt>
                <c:pt idx="18">
                  <c:v>82</c:v>
                </c:pt>
                <c:pt idx="19">
                  <c:v>80</c:v>
                </c:pt>
                <c:pt idx="20">
                  <c:v>75</c:v>
                </c:pt>
                <c:pt idx="21">
                  <c:v>72</c:v>
                </c:pt>
                <c:pt idx="22">
                  <c:v>72</c:v>
                </c:pt>
                <c:pt idx="23">
                  <c:v>72</c:v>
                </c:pt>
                <c:pt idx="24">
                  <c:v>72</c:v>
                </c:pt>
                <c:pt idx="25">
                  <c:v>72</c:v>
                </c:pt>
                <c:pt idx="26">
                  <c:v>71</c:v>
                </c:pt>
                <c:pt idx="27">
                  <c:v>72</c:v>
                </c:pt>
                <c:pt idx="28">
                  <c:v>75</c:v>
                </c:pt>
                <c:pt idx="29">
                  <c:v>90</c:v>
                </c:pt>
                <c:pt idx="30">
                  <c:v>88</c:v>
                </c:pt>
                <c:pt idx="31">
                  <c:v>90</c:v>
                </c:pt>
                <c:pt idx="32">
                  <c:v>87</c:v>
                </c:pt>
                <c:pt idx="33">
                  <c:v>90</c:v>
                </c:pt>
                <c:pt idx="34">
                  <c:v>92</c:v>
                </c:pt>
                <c:pt idx="35">
                  <c:v>95</c:v>
                </c:pt>
                <c:pt idx="36">
                  <c:v>95</c:v>
                </c:pt>
                <c:pt idx="37">
                  <c:v>92</c:v>
                </c:pt>
                <c:pt idx="38">
                  <c:v>95</c:v>
                </c:pt>
                <c:pt idx="39">
                  <c:v>95</c:v>
                </c:pt>
                <c:pt idx="40">
                  <c:v>104</c:v>
                </c:pt>
                <c:pt idx="41">
                  <c:v>100</c:v>
                </c:pt>
                <c:pt idx="42">
                  <c:v>100</c:v>
                </c:pt>
                <c:pt idx="43">
                  <c:v>98</c:v>
                </c:pt>
                <c:pt idx="44">
                  <c:v>105</c:v>
                </c:pt>
                <c:pt idx="45">
                  <c:v>108</c:v>
                </c:pt>
                <c:pt idx="46">
                  <c:v>108</c:v>
                </c:pt>
                <c:pt idx="47">
                  <c:v>110</c:v>
                </c:pt>
                <c:pt idx="48">
                  <c:v>122</c:v>
                </c:pt>
                <c:pt idx="49">
                  <c:v>130</c:v>
                </c:pt>
                <c:pt idx="50">
                  <c:v>132</c:v>
                </c:pt>
                <c:pt idx="51">
                  <c:v>135</c:v>
                </c:pt>
              </c:numCache>
            </c:numRef>
          </c:val>
          <c:smooth val="0"/>
        </c:ser>
        <c:ser>
          <c:idx val="4"/>
          <c:order val="4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SoyhullPriceTrend!$B$11:$B$62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SoyhullPriceTrend!$G$11:$G$62</c:f>
              <c:numCache>
                <c:ptCount val="52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131</c:v>
                </c:pt>
                <c:pt idx="6">
                  <c:v>130</c:v>
                </c:pt>
                <c:pt idx="7">
                  <c:v>132</c:v>
                </c:pt>
                <c:pt idx="8">
                  <c:v>126</c:v>
                </c:pt>
                <c:pt idx="9">
                  <c:v>128</c:v>
                </c:pt>
                <c:pt idx="10">
                  <c:v>126</c:v>
                </c:pt>
                <c:pt idx="11">
                  <c:v>115</c:v>
                </c:pt>
                <c:pt idx="12">
                  <c:v>125</c:v>
                </c:pt>
                <c:pt idx="13">
                  <c:v>123</c:v>
                </c:pt>
                <c:pt idx="14">
                  <c:v>120</c:v>
                </c:pt>
                <c:pt idx="15">
                  <c:v>120</c:v>
                </c:pt>
                <c:pt idx="16">
                  <c:v>110</c:v>
                </c:pt>
                <c:pt idx="17">
                  <c:v>102</c:v>
                </c:pt>
                <c:pt idx="18">
                  <c:v>100</c:v>
                </c:pt>
                <c:pt idx="19">
                  <c:v>95</c:v>
                </c:pt>
                <c:pt idx="20">
                  <c:v>90</c:v>
                </c:pt>
                <c:pt idx="21">
                  <c:v>85</c:v>
                </c:pt>
                <c:pt idx="22">
                  <c:v>90</c:v>
                </c:pt>
                <c:pt idx="23">
                  <c:v>87</c:v>
                </c:pt>
                <c:pt idx="24">
                  <c:v>88</c:v>
                </c:pt>
                <c:pt idx="25">
                  <c:v>90</c:v>
                </c:pt>
                <c:pt idx="26">
                  <c:v>88</c:v>
                </c:pt>
                <c:pt idx="27">
                  <c:v>88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93</c:v>
                </c:pt>
                <c:pt idx="34">
                  <c:v>100</c:v>
                </c:pt>
                <c:pt idx="35">
                  <c:v>112</c:v>
                </c:pt>
                <c:pt idx="36">
                  <c:v>112</c:v>
                </c:pt>
                <c:pt idx="37">
                  <c:v>120</c:v>
                </c:pt>
                <c:pt idx="38">
                  <c:v>125</c:v>
                </c:pt>
                <c:pt idx="39">
                  <c:v>130</c:v>
                </c:pt>
                <c:pt idx="40">
                  <c:v>130</c:v>
                </c:pt>
                <c:pt idx="41">
                  <c:v>131</c:v>
                </c:pt>
                <c:pt idx="42">
                  <c:v>132</c:v>
                </c:pt>
                <c:pt idx="43">
                  <c:v>133</c:v>
                </c:pt>
                <c:pt idx="44">
                  <c:v>131</c:v>
                </c:pt>
                <c:pt idx="45">
                  <c:v>132</c:v>
                </c:pt>
                <c:pt idx="46">
                  <c:v>132</c:v>
                </c:pt>
                <c:pt idx="47">
                  <c:v>132</c:v>
                </c:pt>
                <c:pt idx="48">
                  <c:v>133</c:v>
                </c:pt>
                <c:pt idx="49">
                  <c:v>140</c:v>
                </c:pt>
                <c:pt idx="50">
                  <c:v>142</c:v>
                </c:pt>
              </c:numCache>
            </c:numRef>
          </c:val>
          <c:smooth val="0"/>
        </c:ser>
        <c:marker val="1"/>
        <c:axId val="1600838"/>
        <c:axId val="14407543"/>
      </c:lineChart>
      <c:catAx>
        <c:axId val="1600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407543"/>
        <c:crosses val="autoZero"/>
        <c:auto val="1"/>
        <c:lblOffset val="100"/>
        <c:noMultiLvlLbl val="0"/>
      </c:catAx>
      <c:valAx>
        <c:axId val="1440754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 Per 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0083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 Weekly Average Soybean Hull Prices, $/Ton, FOB, Memphis, 2003-2007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SoyhullPriceTrend!$H$11:$H$62</c:f>
              <c:numCache>
                <c:ptCount val="52"/>
                <c:pt idx="0">
                  <c:v>101.5</c:v>
                </c:pt>
                <c:pt idx="1">
                  <c:v>101.8</c:v>
                </c:pt>
                <c:pt idx="2">
                  <c:v>101.3</c:v>
                </c:pt>
                <c:pt idx="3">
                  <c:v>99.5</c:v>
                </c:pt>
                <c:pt idx="4">
                  <c:v>98.5</c:v>
                </c:pt>
                <c:pt idx="5">
                  <c:v>100</c:v>
                </c:pt>
                <c:pt idx="6">
                  <c:v>100</c:v>
                </c:pt>
                <c:pt idx="7">
                  <c:v>100.2</c:v>
                </c:pt>
                <c:pt idx="8">
                  <c:v>96</c:v>
                </c:pt>
                <c:pt idx="9">
                  <c:v>96</c:v>
                </c:pt>
                <c:pt idx="10">
                  <c:v>94.8</c:v>
                </c:pt>
                <c:pt idx="11">
                  <c:v>91.2</c:v>
                </c:pt>
                <c:pt idx="12">
                  <c:v>92.7</c:v>
                </c:pt>
                <c:pt idx="13">
                  <c:v>91.5</c:v>
                </c:pt>
                <c:pt idx="14">
                  <c:v>88.1</c:v>
                </c:pt>
                <c:pt idx="15">
                  <c:v>89.4</c:v>
                </c:pt>
                <c:pt idx="16">
                  <c:v>85.3</c:v>
                </c:pt>
                <c:pt idx="17">
                  <c:v>83</c:v>
                </c:pt>
                <c:pt idx="18">
                  <c:v>82</c:v>
                </c:pt>
                <c:pt idx="19">
                  <c:v>80.4</c:v>
                </c:pt>
                <c:pt idx="20">
                  <c:v>78.2</c:v>
                </c:pt>
                <c:pt idx="21">
                  <c:v>75.7</c:v>
                </c:pt>
                <c:pt idx="22">
                  <c:v>76.4</c:v>
                </c:pt>
                <c:pt idx="23">
                  <c:v>75.3</c:v>
                </c:pt>
                <c:pt idx="24">
                  <c:v>76</c:v>
                </c:pt>
                <c:pt idx="25">
                  <c:v>77.4</c:v>
                </c:pt>
                <c:pt idx="26">
                  <c:v>77</c:v>
                </c:pt>
                <c:pt idx="27">
                  <c:v>76.8</c:v>
                </c:pt>
                <c:pt idx="28">
                  <c:v>77.4</c:v>
                </c:pt>
                <c:pt idx="29">
                  <c:v>81.2</c:v>
                </c:pt>
                <c:pt idx="30">
                  <c:v>81.5</c:v>
                </c:pt>
                <c:pt idx="31">
                  <c:v>81.5</c:v>
                </c:pt>
                <c:pt idx="32">
                  <c:v>83</c:v>
                </c:pt>
                <c:pt idx="33">
                  <c:v>83.8</c:v>
                </c:pt>
                <c:pt idx="34">
                  <c:v>84.7</c:v>
                </c:pt>
                <c:pt idx="35">
                  <c:v>88.4</c:v>
                </c:pt>
                <c:pt idx="36">
                  <c:v>89.7</c:v>
                </c:pt>
                <c:pt idx="37">
                  <c:v>90.9</c:v>
                </c:pt>
                <c:pt idx="38">
                  <c:v>92.3</c:v>
                </c:pt>
                <c:pt idx="39">
                  <c:v>93.5</c:v>
                </c:pt>
                <c:pt idx="40">
                  <c:v>95.2</c:v>
                </c:pt>
                <c:pt idx="41">
                  <c:v>94.9</c:v>
                </c:pt>
                <c:pt idx="42">
                  <c:v>98.3</c:v>
                </c:pt>
                <c:pt idx="43">
                  <c:v>98.3</c:v>
                </c:pt>
                <c:pt idx="44">
                  <c:v>99.1</c:v>
                </c:pt>
                <c:pt idx="45">
                  <c:v>98.9</c:v>
                </c:pt>
                <c:pt idx="46">
                  <c:v>98.4</c:v>
                </c:pt>
                <c:pt idx="47">
                  <c:v>99.6</c:v>
                </c:pt>
                <c:pt idx="48">
                  <c:v>101.4</c:v>
                </c:pt>
                <c:pt idx="49">
                  <c:v>100.7</c:v>
                </c:pt>
                <c:pt idx="50">
                  <c:v>106.8</c:v>
                </c:pt>
                <c:pt idx="51">
                  <c:v>99.625</c:v>
                </c:pt>
              </c:numCache>
            </c:numRef>
          </c:val>
          <c:smooth val="0"/>
        </c:ser>
        <c:marker val="1"/>
        <c:axId val="62559024"/>
        <c:axId val="26160305"/>
      </c:lineChart>
      <c:cat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160305"/>
        <c:crosses val="autoZero"/>
        <c:auto val="1"/>
        <c:lblOffset val="100"/>
        <c:tickLblSkip val="3"/>
        <c:noMultiLvlLbl val="0"/>
      </c:catAx>
      <c:valAx>
        <c:axId val="2616030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Drollars Per 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55902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114300</xdr:rowOff>
    </xdr:from>
    <xdr:to>
      <xdr:col>14</xdr:col>
      <xdr:colOff>276225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409575" y="114300"/>
        <a:ext cx="8401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67</xdr:row>
      <xdr:rowOff>95250</xdr:rowOff>
    </xdr:from>
    <xdr:to>
      <xdr:col>14</xdr:col>
      <xdr:colOff>209550</xdr:colOff>
      <xdr:row>98</xdr:row>
      <xdr:rowOff>85725</xdr:rowOff>
    </xdr:to>
    <xdr:graphicFrame>
      <xdr:nvGraphicFramePr>
        <xdr:cNvPr id="1" name="Chart 1"/>
        <xdr:cNvGraphicFramePr/>
      </xdr:nvGraphicFramePr>
      <xdr:xfrm>
        <a:off x="114300" y="10944225"/>
        <a:ext cx="86296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102</xdr:row>
      <xdr:rowOff>38100</xdr:rowOff>
    </xdr:from>
    <xdr:to>
      <xdr:col>14</xdr:col>
      <xdr:colOff>190500</xdr:colOff>
      <xdr:row>131</xdr:row>
      <xdr:rowOff>66675</xdr:rowOff>
    </xdr:to>
    <xdr:graphicFrame>
      <xdr:nvGraphicFramePr>
        <xdr:cNvPr id="2" name="Chart 2"/>
        <xdr:cNvGraphicFramePr/>
      </xdr:nvGraphicFramePr>
      <xdr:xfrm>
        <a:off x="161925" y="16554450"/>
        <a:ext cx="85629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116</xdr:row>
      <xdr:rowOff>152400</xdr:rowOff>
    </xdr:from>
    <xdr:to>
      <xdr:col>8</xdr:col>
      <xdr:colOff>476250</xdr:colOff>
      <xdr:row>121</xdr:row>
      <xdr:rowOff>152400</xdr:rowOff>
    </xdr:to>
    <xdr:sp>
      <xdr:nvSpPr>
        <xdr:cNvPr id="3" name="Oval 3"/>
        <xdr:cNvSpPr>
          <a:spLocks/>
        </xdr:cNvSpPr>
      </xdr:nvSpPr>
      <xdr:spPr>
        <a:xfrm>
          <a:off x="3962400" y="18935700"/>
          <a:ext cx="1390650" cy="809625"/>
        </a:xfrm>
        <a:prstGeom prst="ellipse">
          <a:avLst/>
        </a:prstGeom>
        <a:solidFill>
          <a:srgbClr val="00FFFF">
            <a:alpha val="1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122</xdr:row>
      <xdr:rowOff>133350</xdr:rowOff>
    </xdr:from>
    <xdr:to>
      <xdr:col>10</xdr:col>
      <xdr:colOff>552450</xdr:colOff>
      <xdr:row>126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81350" y="19888200"/>
          <a:ext cx="34671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average it will pay you to buy Soyhulls in May and June and store in a commodity feed barn for later use.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lsmnpubs/cfaal.htm" TargetMode="External" /><Relationship Id="rId2" Type="http://schemas.openxmlformats.org/officeDocument/2006/relationships/hyperlink" Target="http://futuresource.quote.com/" TargetMode="Externa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</cols>
  <sheetData>
    <row r="2" s="79" customFormat="1" ht="33.75">
      <c r="B2" s="193" t="s">
        <v>187</v>
      </c>
    </row>
    <row r="5" s="24" customFormat="1" ht="26.25">
      <c r="B5" s="24" t="s">
        <v>194</v>
      </c>
    </row>
    <row r="6" s="24" customFormat="1" ht="26.25"/>
    <row r="7" spans="2:15" s="24" customFormat="1" ht="26.25">
      <c r="B7" s="197" t="s">
        <v>195</v>
      </c>
      <c r="C7" s="298" t="s">
        <v>192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2:15" s="24" customFormat="1" ht="26.25">
      <c r="B8" s="1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9" spans="2:15" s="24" customFormat="1" ht="26.25">
      <c r="B9" s="197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2:15" s="24" customFormat="1" ht="26.25">
      <c r="B10" s="197" t="s">
        <v>196</v>
      </c>
      <c r="C10" s="299" t="s">
        <v>188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2:15" s="24" customFormat="1" ht="26.25">
      <c r="B11" s="197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</row>
    <row r="12" s="24" customFormat="1" ht="26.25">
      <c r="B12" s="197"/>
    </row>
    <row r="13" spans="2:15" s="24" customFormat="1" ht="26.25">
      <c r="B13" s="197" t="s">
        <v>197</v>
      </c>
      <c r="C13" s="298" t="s">
        <v>189</v>
      </c>
      <c r="D13" s="298"/>
      <c r="E13" s="298"/>
      <c r="F13" s="300"/>
      <c r="G13" s="300"/>
      <c r="H13" s="300"/>
      <c r="I13" s="300"/>
      <c r="J13" s="300"/>
      <c r="K13" s="300"/>
      <c r="L13" s="300"/>
      <c r="M13" s="300"/>
      <c r="N13" s="300"/>
      <c r="O13" s="300"/>
    </row>
    <row r="14" spans="2:15" s="24" customFormat="1" ht="26.25">
      <c r="B14" s="197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</row>
    <row r="15" spans="2:15" s="24" customFormat="1" ht="26.25">
      <c r="B15" s="197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</row>
    <row r="16" spans="2:14" s="24" customFormat="1" ht="26.25">
      <c r="B16" s="197" t="s">
        <v>198</v>
      </c>
      <c r="C16" s="299" t="s">
        <v>193</v>
      </c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</row>
    <row r="17" spans="2:14" s="24" customFormat="1" ht="26.25">
      <c r="B17" s="194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</row>
    <row r="18" s="24" customFormat="1" ht="26.25"/>
    <row r="19" spans="2:3" s="24" customFormat="1" ht="26.25">
      <c r="B19" s="194" t="s">
        <v>190</v>
      </c>
      <c r="C19" s="24" t="s">
        <v>249</v>
      </c>
    </row>
    <row r="20" s="24" customFormat="1" ht="26.25">
      <c r="C20" s="24" t="s">
        <v>191</v>
      </c>
    </row>
    <row r="21" s="24" customFormat="1" ht="26.25"/>
    <row r="22" s="24" customFormat="1" ht="26.25"/>
    <row r="23" s="24" customFormat="1" ht="26.25"/>
  </sheetData>
  <mergeCells count="4">
    <mergeCell ref="C7:O8"/>
    <mergeCell ref="C10:O11"/>
    <mergeCell ref="C16:N17"/>
    <mergeCell ref="C13:O14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7"/>
  <sheetViews>
    <sheetView workbookViewId="0" topLeftCell="A3">
      <selection activeCell="L7" sqref="L7"/>
    </sheetView>
  </sheetViews>
  <sheetFormatPr defaultColWidth="9.140625" defaultRowHeight="12.75"/>
  <cols>
    <col min="1" max="2" width="9.140625" style="142" customWidth="1"/>
    <col min="3" max="3" width="11.140625" style="142" customWidth="1"/>
    <col min="4" max="4" width="9.140625" style="142" customWidth="1"/>
    <col min="5" max="5" width="15.7109375" style="142" bestFit="1" customWidth="1"/>
    <col min="6" max="6" width="19.140625" style="142" bestFit="1" customWidth="1"/>
    <col min="7" max="7" width="15.7109375" style="142" bestFit="1" customWidth="1"/>
    <col min="8" max="8" width="9.140625" style="142" customWidth="1"/>
    <col min="9" max="9" width="12.28125" style="142" customWidth="1"/>
    <col min="10" max="10" width="9.140625" style="142" customWidth="1"/>
    <col min="11" max="11" width="6.57421875" style="142" customWidth="1"/>
    <col min="12" max="16384" width="9.140625" style="142" customWidth="1"/>
  </cols>
  <sheetData>
    <row r="2" ht="35.25">
      <c r="F2" s="235" t="s">
        <v>225</v>
      </c>
    </row>
    <row r="3" spans="12:14" s="1" customFormat="1" ht="18">
      <c r="L3" s="242">
        <v>98</v>
      </c>
      <c r="M3" s="238"/>
      <c r="N3" s="1" t="s">
        <v>229</v>
      </c>
    </row>
    <row r="4" spans="12:14" s="1" customFormat="1" ht="18">
      <c r="L4" s="243">
        <v>78</v>
      </c>
      <c r="M4" s="238"/>
      <c r="N4" s="1" t="s">
        <v>25</v>
      </c>
    </row>
    <row r="5" spans="6:21" ht="26.25">
      <c r="F5" s="194" t="s">
        <v>226</v>
      </c>
      <c r="L5" s="244">
        <v>495</v>
      </c>
      <c r="M5" s="245">
        <v>1.14</v>
      </c>
      <c r="N5" s="1" t="s">
        <v>231</v>
      </c>
      <c r="O5" s="1"/>
      <c r="P5" s="1"/>
      <c r="Q5" s="1"/>
      <c r="R5" s="1"/>
      <c r="S5" s="1"/>
      <c r="T5" s="1"/>
      <c r="U5" s="1"/>
    </row>
    <row r="6" spans="6:14" ht="26.25">
      <c r="F6" s="236" t="s">
        <v>227</v>
      </c>
      <c r="L6" s="244">
        <v>78</v>
      </c>
      <c r="M6" s="238"/>
      <c r="N6" s="142" t="s">
        <v>230</v>
      </c>
    </row>
    <row r="7" spans="6:14" ht="26.25">
      <c r="F7" s="194" t="s">
        <v>228</v>
      </c>
      <c r="L7" s="244">
        <v>618</v>
      </c>
      <c r="M7" s="238"/>
      <c r="N7" s="142" t="s">
        <v>232</v>
      </c>
    </row>
    <row r="10" spans="3:10" ht="26.25">
      <c r="C10" s="24"/>
      <c r="D10" s="24"/>
      <c r="E10" s="24"/>
      <c r="F10" s="194" t="s">
        <v>233</v>
      </c>
      <c r="G10" s="24"/>
      <c r="H10" s="24"/>
      <c r="I10" s="24"/>
      <c r="J10" s="24"/>
    </row>
    <row r="11" spans="3:10" ht="26.25">
      <c r="C11" s="24"/>
      <c r="D11" s="239"/>
      <c r="E11" s="239"/>
      <c r="F11" s="239">
        <f>L3*L4+(L4-L6)*L5*M5</f>
        <v>7644</v>
      </c>
      <c r="G11" s="239"/>
      <c r="H11" s="239"/>
      <c r="I11" s="24"/>
      <c r="J11" s="24"/>
    </row>
    <row r="12" spans="2:10" ht="26.25">
      <c r="B12" s="24" t="s">
        <v>234</v>
      </c>
      <c r="C12" s="24"/>
      <c r="D12" s="239"/>
      <c r="E12" s="239"/>
      <c r="F12" s="237" t="s">
        <v>227</v>
      </c>
      <c r="G12" s="239"/>
      <c r="H12" s="237" t="s">
        <v>161</v>
      </c>
      <c r="I12" s="247">
        <f>F11/(E13-G13)</f>
        <v>0.7967479674796748</v>
      </c>
      <c r="J12" s="248" t="s">
        <v>162</v>
      </c>
    </row>
    <row r="13" spans="3:10" ht="26.25">
      <c r="C13" s="24"/>
      <c r="D13" s="239"/>
      <c r="E13" s="240">
        <f>L6*L7</f>
        <v>48204</v>
      </c>
      <c r="F13" s="241" t="s">
        <v>17</v>
      </c>
      <c r="G13" s="240">
        <f>L5*L4</f>
        <v>38610</v>
      </c>
      <c r="H13" s="239"/>
      <c r="I13" s="24"/>
      <c r="J13" s="24"/>
    </row>
    <row r="14" spans="3:10" s="121" customFormat="1" ht="20.25">
      <c r="C14" s="170"/>
      <c r="D14" s="170"/>
      <c r="E14" s="171" t="s">
        <v>235</v>
      </c>
      <c r="F14" s="171"/>
      <c r="G14" s="171" t="s">
        <v>236</v>
      </c>
      <c r="H14" s="170"/>
      <c r="I14" s="170"/>
      <c r="J14" s="170"/>
    </row>
    <row r="15" spans="5:7" s="121" customFormat="1" ht="20.25">
      <c r="E15" s="171" t="s">
        <v>175</v>
      </c>
      <c r="F15" s="171"/>
      <c r="G15" s="171" t="s">
        <v>175</v>
      </c>
    </row>
    <row r="16" ht="25.5">
      <c r="B16" s="5"/>
    </row>
    <row r="17" ht="25.5">
      <c r="B17" s="5" t="s">
        <v>280</v>
      </c>
    </row>
  </sheetData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5:G52"/>
  <sheetViews>
    <sheetView workbookViewId="0" topLeftCell="A1">
      <selection activeCell="A1" sqref="A1"/>
    </sheetView>
  </sheetViews>
  <sheetFormatPr defaultColWidth="9.140625" defaultRowHeight="12.75"/>
  <cols>
    <col min="4" max="4" width="9.140625" style="57" customWidth="1"/>
  </cols>
  <sheetData>
    <row r="35" ht="12.75">
      <c r="D35" s="57" t="s">
        <v>183</v>
      </c>
    </row>
    <row r="36" spans="2:6" ht="12.75">
      <c r="B36" t="s">
        <v>215</v>
      </c>
      <c r="C36" t="s">
        <v>217</v>
      </c>
      <c r="D36" s="57" t="s">
        <v>289</v>
      </c>
      <c r="E36" t="s">
        <v>252</v>
      </c>
      <c r="F36" t="s">
        <v>77</v>
      </c>
    </row>
    <row r="37" spans="3:6" ht="12.75">
      <c r="C37" t="s">
        <v>156</v>
      </c>
      <c r="D37" s="57" t="s">
        <v>77</v>
      </c>
      <c r="E37" t="s">
        <v>184</v>
      </c>
      <c r="F37" t="s">
        <v>134</v>
      </c>
    </row>
    <row r="38" spans="2:6" ht="12.75">
      <c r="B38">
        <v>1994</v>
      </c>
      <c r="C38">
        <v>576</v>
      </c>
      <c r="D38" s="57">
        <v>79.81</v>
      </c>
      <c r="E38" s="273" t="s">
        <v>262</v>
      </c>
      <c r="F38" s="57" t="e">
        <f>D38-E38</f>
        <v>#VALUE!</v>
      </c>
    </row>
    <row r="39" spans="2:6" ht="12.75">
      <c r="B39">
        <f>B38+1</f>
        <v>1995</v>
      </c>
      <c r="C39">
        <v>597</v>
      </c>
      <c r="D39" s="57">
        <v>64.61</v>
      </c>
      <c r="E39" s="273" t="s">
        <v>262</v>
      </c>
      <c r="F39" s="57" t="e">
        <f aca="true" t="shared" si="0" ref="F39:F51">D39-E39</f>
        <v>#VALUE!</v>
      </c>
    </row>
    <row r="40" spans="2:6" ht="12.75">
      <c r="B40">
        <f aca="true" t="shared" si="1" ref="B40:B51">B39+1</f>
        <v>1996</v>
      </c>
      <c r="C40">
        <v>615</v>
      </c>
      <c r="D40" s="57">
        <v>60.08</v>
      </c>
      <c r="E40" s="273" t="s">
        <v>262</v>
      </c>
      <c r="F40" s="57" t="e">
        <f t="shared" si="0"/>
        <v>#VALUE!</v>
      </c>
    </row>
    <row r="41" spans="2:7" ht="12.75">
      <c r="B41">
        <f t="shared" si="1"/>
        <v>1997</v>
      </c>
      <c r="C41">
        <v>630</v>
      </c>
      <c r="D41" s="57">
        <v>82</v>
      </c>
      <c r="E41">
        <v>74.58</v>
      </c>
      <c r="F41" s="57">
        <f t="shared" si="0"/>
        <v>7.420000000000002</v>
      </c>
      <c r="G41" s="273">
        <v>97</v>
      </c>
    </row>
    <row r="42" spans="2:7" ht="12.75">
      <c r="B42">
        <f t="shared" si="1"/>
        <v>1998</v>
      </c>
      <c r="C42">
        <v>607</v>
      </c>
      <c r="D42" s="57">
        <v>70.08</v>
      </c>
      <c r="E42">
        <v>61.96</v>
      </c>
      <c r="F42" s="57">
        <f t="shared" si="0"/>
        <v>8.119999999999997</v>
      </c>
      <c r="G42" s="273">
        <v>98</v>
      </c>
    </row>
    <row r="43" spans="2:7" ht="12.75">
      <c r="B43">
        <f t="shared" si="1"/>
        <v>1999</v>
      </c>
      <c r="C43">
        <v>627</v>
      </c>
      <c r="D43" s="57">
        <v>81.49</v>
      </c>
      <c r="E43">
        <v>75.26</v>
      </c>
      <c r="F43" s="57">
        <f t="shared" si="0"/>
        <v>6.22999999999999</v>
      </c>
      <c r="G43" s="273">
        <v>99</v>
      </c>
    </row>
    <row r="44" spans="2:7" ht="12.75">
      <c r="B44">
        <f t="shared" si="1"/>
        <v>2000</v>
      </c>
      <c r="C44">
        <v>648</v>
      </c>
      <c r="D44" s="57">
        <v>92.14</v>
      </c>
      <c r="E44">
        <v>82.45</v>
      </c>
      <c r="F44" s="57">
        <f t="shared" si="0"/>
        <v>9.689999999999998</v>
      </c>
      <c r="G44" s="274" t="s">
        <v>253</v>
      </c>
    </row>
    <row r="45" spans="2:7" ht="12.75">
      <c r="B45">
        <f t="shared" si="1"/>
        <v>2001</v>
      </c>
      <c r="C45">
        <v>661</v>
      </c>
      <c r="D45" s="57">
        <v>90.97</v>
      </c>
      <c r="E45">
        <v>83.27</v>
      </c>
      <c r="F45" s="57">
        <f t="shared" si="0"/>
        <v>7.700000000000003</v>
      </c>
      <c r="G45" s="274" t="s">
        <v>254</v>
      </c>
    </row>
    <row r="46" spans="2:7" ht="12.75">
      <c r="B46">
        <f t="shared" si="1"/>
        <v>2002</v>
      </c>
      <c r="C46">
        <v>663</v>
      </c>
      <c r="D46" s="57">
        <v>76.81</v>
      </c>
      <c r="E46">
        <v>74.49</v>
      </c>
      <c r="F46" s="57">
        <f t="shared" si="0"/>
        <v>2.3200000000000074</v>
      </c>
      <c r="G46" s="274" t="s">
        <v>255</v>
      </c>
    </row>
    <row r="47" spans="2:7" ht="12.75">
      <c r="B47">
        <f t="shared" si="1"/>
        <v>2003</v>
      </c>
      <c r="C47">
        <v>653</v>
      </c>
      <c r="D47" s="57">
        <v>95.55</v>
      </c>
      <c r="E47">
        <v>91.2</v>
      </c>
      <c r="F47" s="57">
        <f t="shared" si="0"/>
        <v>4.349999999999994</v>
      </c>
      <c r="G47" s="274" t="s">
        <v>256</v>
      </c>
    </row>
    <row r="48" spans="2:7" ht="12.75">
      <c r="B48">
        <f t="shared" si="1"/>
        <v>2004</v>
      </c>
      <c r="C48">
        <v>653</v>
      </c>
      <c r="D48" s="57">
        <v>120.15</v>
      </c>
      <c r="E48">
        <v>113.62</v>
      </c>
      <c r="F48" s="57">
        <f t="shared" si="0"/>
        <v>6.530000000000001</v>
      </c>
      <c r="G48" s="274" t="s">
        <v>257</v>
      </c>
    </row>
    <row r="49" spans="2:7" ht="12.75">
      <c r="B49">
        <f t="shared" si="1"/>
        <v>2005</v>
      </c>
      <c r="C49">
        <v>677</v>
      </c>
      <c r="D49" s="57">
        <v>109.49</v>
      </c>
      <c r="E49">
        <v>110.33</v>
      </c>
      <c r="F49" s="57">
        <f t="shared" si="0"/>
        <v>-0.8400000000000034</v>
      </c>
      <c r="G49" s="274" t="s">
        <v>258</v>
      </c>
    </row>
    <row r="50" spans="2:7" ht="12.75">
      <c r="B50">
        <f t="shared" si="1"/>
        <v>2006</v>
      </c>
      <c r="C50">
        <v>634</v>
      </c>
      <c r="D50" s="57">
        <v>118.22</v>
      </c>
      <c r="E50">
        <v>111.92</v>
      </c>
      <c r="F50" s="57">
        <f t="shared" si="0"/>
        <v>6.299999999999997</v>
      </c>
      <c r="G50" s="274" t="s">
        <v>259</v>
      </c>
    </row>
    <row r="51" spans="2:7" ht="12.75">
      <c r="B51">
        <f t="shared" si="1"/>
        <v>2007</v>
      </c>
      <c r="C51">
        <v>701</v>
      </c>
      <c r="D51" s="57">
        <v>114.25</v>
      </c>
      <c r="E51">
        <f>(107.3+105.55)/2</f>
        <v>106.425</v>
      </c>
      <c r="F51" s="57">
        <f t="shared" si="0"/>
        <v>7.825000000000003</v>
      </c>
      <c r="G51" s="274" t="s">
        <v>260</v>
      </c>
    </row>
    <row r="52" spans="6:7" ht="12.75">
      <c r="F52" s="57">
        <f>AVERAGE(F41:F51)</f>
        <v>5.967727272727271</v>
      </c>
      <c r="G52" s="273" t="s">
        <v>261</v>
      </c>
    </row>
  </sheetData>
  <printOptions/>
  <pageMargins left="0.75" right="0.75" top="1" bottom="1" header="0.5" footer="0.5"/>
  <pageSetup fitToHeight="1" fitToWidth="1" horizontalDpi="600" verticalDpi="600" orientation="portrait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9.57421875" style="0" bestFit="1" customWidth="1"/>
    <col min="3" max="3" width="11.28125" style="0" customWidth="1"/>
    <col min="4" max="4" width="9.57421875" style="0" customWidth="1"/>
    <col min="5" max="12" width="11.7109375" style="0" customWidth="1"/>
    <col min="22" max="22" width="11.00390625" style="0" bestFit="1" customWidth="1"/>
  </cols>
  <sheetData>
    <row r="1" ht="30">
      <c r="F1" s="95" t="s">
        <v>101</v>
      </c>
    </row>
    <row r="2" ht="12.75">
      <c r="B2" s="110" t="s">
        <v>128</v>
      </c>
    </row>
    <row r="3" spans="1:28" ht="15.75">
      <c r="A3" s="87">
        <v>1</v>
      </c>
      <c r="B3" s="43" t="s">
        <v>116</v>
      </c>
      <c r="C3" s="43"/>
      <c r="D3" s="43"/>
      <c r="E3" s="43"/>
      <c r="F3" s="58">
        <v>3</v>
      </c>
      <c r="G3" s="43" t="s">
        <v>107</v>
      </c>
      <c r="H3" s="43"/>
      <c r="Q3" s="79"/>
      <c r="U3" s="104" t="s">
        <v>63</v>
      </c>
      <c r="V3" s="105">
        <f aca="true" t="shared" si="0" ref="V3:AB3">(V4-$U$4)/$U$4</f>
        <v>0.3333333333333333</v>
      </c>
      <c r="W3" s="105">
        <f t="shared" si="0"/>
        <v>0.6666666666666666</v>
      </c>
      <c r="X3" s="105">
        <f t="shared" si="0"/>
        <v>1</v>
      </c>
      <c r="Y3" s="105">
        <f t="shared" si="0"/>
        <v>1.3333333333333333</v>
      </c>
      <c r="Z3" s="105">
        <f t="shared" si="0"/>
        <v>1.6666666666666667</v>
      </c>
      <c r="AA3" s="105">
        <f t="shared" si="0"/>
        <v>2</v>
      </c>
      <c r="AB3" s="105">
        <f t="shared" si="0"/>
        <v>2.3333333333333335</v>
      </c>
    </row>
    <row r="4" spans="1:28" ht="15.75">
      <c r="A4" s="87">
        <v>45</v>
      </c>
      <c r="B4" s="43" t="s">
        <v>117</v>
      </c>
      <c r="C4" s="43"/>
      <c r="D4" s="43"/>
      <c r="E4" s="43"/>
      <c r="F4" s="58">
        <f>A4*0.09/365*100</f>
        <v>1.1095890410958904</v>
      </c>
      <c r="G4" s="43" t="s">
        <v>113</v>
      </c>
      <c r="H4" s="43"/>
      <c r="J4" s="43"/>
      <c r="Q4" s="79"/>
      <c r="S4" s="102" t="s">
        <v>82</v>
      </c>
      <c r="U4" s="100">
        <f aca="true" t="shared" si="1" ref="U4:AB4">E19</f>
        <v>60</v>
      </c>
      <c r="V4" s="100">
        <f t="shared" si="1"/>
        <v>80</v>
      </c>
      <c r="W4" s="100">
        <f t="shared" si="1"/>
        <v>100</v>
      </c>
      <c r="X4" s="100">
        <f t="shared" si="1"/>
        <v>120</v>
      </c>
      <c r="Y4" s="100">
        <f t="shared" si="1"/>
        <v>140</v>
      </c>
      <c r="Z4" s="100">
        <f t="shared" si="1"/>
        <v>160</v>
      </c>
      <c r="AA4" s="100">
        <f t="shared" si="1"/>
        <v>180</v>
      </c>
      <c r="AB4" s="100">
        <f t="shared" si="1"/>
        <v>200</v>
      </c>
    </row>
    <row r="5" spans="1:28" ht="15.75">
      <c r="A5" s="58">
        <v>60</v>
      </c>
      <c r="B5" s="43" t="s">
        <v>82</v>
      </c>
      <c r="C5" s="43"/>
      <c r="D5" s="43"/>
      <c r="E5" s="43"/>
      <c r="F5" s="86">
        <v>0.005</v>
      </c>
      <c r="G5" s="43" t="s">
        <v>21</v>
      </c>
      <c r="H5" s="43"/>
      <c r="J5" s="43"/>
      <c r="Q5" s="79"/>
      <c r="S5" s="102" t="s">
        <v>89</v>
      </c>
      <c r="U5" s="88">
        <f aca="true" t="shared" si="2" ref="U5:AB5">($A$7*($F$6+$F$11)/2)*(1+$A$8)*(U4/2000)*$A$4</f>
        <v>25.541578125</v>
      </c>
      <c r="V5" s="88">
        <f t="shared" si="2"/>
        <v>34.055437500000004</v>
      </c>
      <c r="W5" s="88">
        <f t="shared" si="2"/>
        <v>42.569296875000006</v>
      </c>
      <c r="X5" s="88">
        <f t="shared" si="2"/>
        <v>51.08315625</v>
      </c>
      <c r="Y5" s="88">
        <f t="shared" si="2"/>
        <v>59.59701562500001</v>
      </c>
      <c r="Z5" s="88">
        <f t="shared" si="2"/>
        <v>68.11087500000001</v>
      </c>
      <c r="AA5" s="88">
        <f t="shared" si="2"/>
        <v>76.624734375</v>
      </c>
      <c r="AB5" s="88">
        <f t="shared" si="2"/>
        <v>85.13859375000001</v>
      </c>
    </row>
    <row r="6" spans="1:28" ht="15.75">
      <c r="A6" s="58">
        <v>20</v>
      </c>
      <c r="B6" s="43" t="s">
        <v>83</v>
      </c>
      <c r="C6" s="43"/>
      <c r="D6" s="43"/>
      <c r="E6" s="43"/>
      <c r="F6" s="87">
        <v>550</v>
      </c>
      <c r="G6" s="43" t="s">
        <v>92</v>
      </c>
      <c r="J6" s="43"/>
      <c r="S6" s="102" t="s">
        <v>90</v>
      </c>
      <c r="U6" s="88">
        <f>A9+A10+A11+A12+A13+A14+F3+F4+(F5*F6*F9*0.01)</f>
        <v>47.994589041095885</v>
      </c>
      <c r="V6" s="88">
        <f aca="true" t="shared" si="3" ref="V6:AB6">$U$6</f>
        <v>47.994589041095885</v>
      </c>
      <c r="W6" s="88">
        <f t="shared" si="3"/>
        <v>47.994589041095885</v>
      </c>
      <c r="X6" s="88">
        <f t="shared" si="3"/>
        <v>47.994589041095885</v>
      </c>
      <c r="Y6" s="88">
        <f t="shared" si="3"/>
        <v>47.994589041095885</v>
      </c>
      <c r="Z6" s="88">
        <f t="shared" si="3"/>
        <v>47.994589041095885</v>
      </c>
      <c r="AA6" s="88">
        <f t="shared" si="3"/>
        <v>47.994589041095885</v>
      </c>
      <c r="AB6" s="88">
        <f t="shared" si="3"/>
        <v>47.994589041095885</v>
      </c>
    </row>
    <row r="7" spans="1:28" ht="15.75">
      <c r="A7" s="86">
        <v>0.03</v>
      </c>
      <c r="B7" s="43" t="s">
        <v>86</v>
      </c>
      <c r="C7" s="43"/>
      <c r="D7" s="43"/>
      <c r="E7" s="43"/>
      <c r="F7" s="89">
        <v>0.1</v>
      </c>
      <c r="G7" s="43" t="s">
        <v>94</v>
      </c>
      <c r="J7" s="43"/>
      <c r="S7" s="102" t="s">
        <v>91</v>
      </c>
      <c r="U7" s="88">
        <f aca="true" t="shared" si="4" ref="U7:AB7">U5+U6</f>
        <v>73.53616716609588</v>
      </c>
      <c r="V7" s="88">
        <f t="shared" si="4"/>
        <v>82.05002654109589</v>
      </c>
      <c r="W7" s="88">
        <f t="shared" si="4"/>
        <v>90.5638859160959</v>
      </c>
      <c r="X7" s="88">
        <f t="shared" si="4"/>
        <v>99.07774529109588</v>
      </c>
      <c r="Y7" s="88">
        <f t="shared" si="4"/>
        <v>107.59160466609589</v>
      </c>
      <c r="Z7" s="88">
        <f t="shared" si="4"/>
        <v>116.1054640410959</v>
      </c>
      <c r="AA7" s="88">
        <f t="shared" si="4"/>
        <v>124.61932341609588</v>
      </c>
      <c r="AB7" s="88">
        <f t="shared" si="4"/>
        <v>133.1331827910959</v>
      </c>
    </row>
    <row r="8" spans="1:28" ht="15.75">
      <c r="A8" s="86">
        <v>0.05</v>
      </c>
      <c r="B8" s="43" t="s">
        <v>123</v>
      </c>
      <c r="C8" s="43"/>
      <c r="D8" s="43"/>
      <c r="E8" s="43"/>
      <c r="F8" s="43">
        <f>F6*(1-F7)</f>
        <v>495</v>
      </c>
      <c r="G8" s="43" t="s">
        <v>93</v>
      </c>
      <c r="H8" s="43"/>
      <c r="J8" s="43"/>
      <c r="L8" s="60"/>
      <c r="M8" s="93"/>
      <c r="N8" s="60"/>
      <c r="S8" s="102" t="s">
        <v>118</v>
      </c>
      <c r="U8" s="104" t="s">
        <v>63</v>
      </c>
      <c r="V8" s="105">
        <f aca="true" t="shared" si="5" ref="V8:AB8">(V7-$U$7)/$U$7</f>
        <v>0.1157778505884021</v>
      </c>
      <c r="W8" s="105">
        <f t="shared" si="5"/>
        <v>0.2315557011768042</v>
      </c>
      <c r="X8" s="105">
        <f t="shared" si="5"/>
        <v>0.347333551765206</v>
      </c>
      <c r="Y8" s="105">
        <f t="shared" si="5"/>
        <v>0.46311140235360804</v>
      </c>
      <c r="Z8" s="105">
        <f t="shared" si="5"/>
        <v>0.5788892529420102</v>
      </c>
      <c r="AA8" s="105">
        <f t="shared" si="5"/>
        <v>0.694667103530412</v>
      </c>
      <c r="AB8" s="105">
        <f t="shared" si="5"/>
        <v>0.810444954118814</v>
      </c>
    </row>
    <row r="9" spans="1:14" ht="15.75">
      <c r="A9" s="58">
        <f>E9*A4</f>
        <v>20.025</v>
      </c>
      <c r="B9" s="43" t="s">
        <v>127</v>
      </c>
      <c r="C9" s="43"/>
      <c r="D9" s="43"/>
      <c r="E9" s="109">
        <v>0.445</v>
      </c>
      <c r="F9" s="58">
        <v>104</v>
      </c>
      <c r="G9" s="43" t="s">
        <v>61</v>
      </c>
      <c r="H9" s="43"/>
      <c r="J9" s="43"/>
      <c r="L9" s="60"/>
      <c r="M9" s="60"/>
      <c r="N9" s="60"/>
    </row>
    <row r="10" spans="1:26" ht="15.75">
      <c r="A10" s="58">
        <v>12</v>
      </c>
      <c r="B10" s="43" t="s">
        <v>103</v>
      </c>
      <c r="C10" s="43"/>
      <c r="D10" s="43"/>
      <c r="E10" s="43"/>
      <c r="F10" s="91">
        <v>2.25</v>
      </c>
      <c r="G10" s="43" t="s">
        <v>23</v>
      </c>
      <c r="H10" s="43"/>
      <c r="J10" s="43"/>
      <c r="L10" s="92"/>
      <c r="M10" s="60"/>
      <c r="N10" s="60"/>
      <c r="S10" s="113">
        <f>F10</f>
        <v>2.25</v>
      </c>
      <c r="T10" s="102" t="s">
        <v>132</v>
      </c>
      <c r="Y10" s="79">
        <f>F6</f>
        <v>550</v>
      </c>
      <c r="Z10" s="79" t="s">
        <v>133</v>
      </c>
    </row>
    <row r="11" spans="1:14" ht="15.75">
      <c r="A11" s="58">
        <v>1.5</v>
      </c>
      <c r="B11" s="43" t="s">
        <v>104</v>
      </c>
      <c r="C11" s="43"/>
      <c r="D11" s="43"/>
      <c r="E11" s="44"/>
      <c r="F11" s="85">
        <f>A4*F10+F6</f>
        <v>651.25</v>
      </c>
      <c r="G11" s="43" t="s">
        <v>97</v>
      </c>
      <c r="H11" s="43"/>
      <c r="J11" s="43"/>
      <c r="L11" s="92"/>
      <c r="M11" s="60"/>
      <c r="N11" s="60"/>
    </row>
    <row r="12" spans="1:25" ht="16.5" customHeight="1">
      <c r="A12" s="58">
        <v>3</v>
      </c>
      <c r="B12" s="43" t="s">
        <v>105</v>
      </c>
      <c r="C12" s="43"/>
      <c r="D12" s="43"/>
      <c r="E12" s="44"/>
      <c r="F12" s="86">
        <v>0.05</v>
      </c>
      <c r="G12" s="43" t="s">
        <v>95</v>
      </c>
      <c r="H12" s="43"/>
      <c r="T12" s="60" t="s">
        <v>100</v>
      </c>
      <c r="U12" s="111">
        <f>F13</f>
        <v>618.6875</v>
      </c>
      <c r="V12" s="111">
        <f>F11</f>
        <v>651.25</v>
      </c>
      <c r="W12" s="79" t="s">
        <v>122</v>
      </c>
      <c r="X12" s="60"/>
      <c r="Y12" s="60"/>
    </row>
    <row r="13" spans="1:25" ht="17.25" customHeight="1">
      <c r="A13" s="58">
        <v>1.5</v>
      </c>
      <c r="B13" s="43" t="s">
        <v>106</v>
      </c>
      <c r="C13" s="43"/>
      <c r="D13" s="43"/>
      <c r="E13" s="44"/>
      <c r="F13" s="85">
        <f>F11*(1-F12)</f>
        <v>618.6875</v>
      </c>
      <c r="G13" s="43" t="s">
        <v>98</v>
      </c>
      <c r="H13" s="43"/>
      <c r="S13" s="60" t="s">
        <v>129</v>
      </c>
      <c r="U13" s="60" t="s">
        <v>121</v>
      </c>
      <c r="V13" s="60" t="s">
        <v>121</v>
      </c>
      <c r="W13" s="60"/>
      <c r="X13" s="60"/>
      <c r="Y13" s="60"/>
    </row>
    <row r="14" spans="1:22" ht="17.25" customHeight="1">
      <c r="A14" s="58">
        <v>3</v>
      </c>
      <c r="B14" s="43" t="s">
        <v>112</v>
      </c>
      <c r="C14" s="43"/>
      <c r="D14" s="43"/>
      <c r="E14" s="43"/>
      <c r="F14" s="58">
        <v>94</v>
      </c>
      <c r="G14" s="43" t="s">
        <v>62</v>
      </c>
      <c r="H14" s="43"/>
      <c r="S14" s="50">
        <f>F6</f>
        <v>550</v>
      </c>
      <c r="T14" s="60" t="s">
        <v>121</v>
      </c>
      <c r="U14" s="112">
        <f>(U12-S14)/$A$4</f>
        <v>1.5263888888888888</v>
      </c>
      <c r="V14" s="112">
        <f>(V12-S14)/$A$4</f>
        <v>2.25</v>
      </c>
    </row>
    <row r="15" spans="5:22" ht="17.25" customHeight="1">
      <c r="E15" s="43"/>
      <c r="F15" s="91"/>
      <c r="G15" s="43"/>
      <c r="P15" s="49"/>
      <c r="Q15" s="43"/>
      <c r="S15" s="50">
        <f>F8</f>
        <v>495</v>
      </c>
      <c r="T15" s="60" t="s">
        <v>121</v>
      </c>
      <c r="U15" s="112">
        <f>(U12-S15)/$A$4</f>
        <v>2.748611111111111</v>
      </c>
      <c r="V15" s="112">
        <f>(V12-S15)/$A$4</f>
        <v>3.4722222222222223</v>
      </c>
    </row>
    <row r="16" spans="6:19" ht="15.75">
      <c r="F16" s="50"/>
      <c r="S16" s="60" t="s">
        <v>131</v>
      </c>
    </row>
    <row r="17" spans="1:19" ht="12.75">
      <c r="A17" s="78" t="s">
        <v>84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S17" s="60" t="s">
        <v>130</v>
      </c>
    </row>
    <row r="18" spans="1:14" ht="12.75">
      <c r="A18" s="60" t="s">
        <v>80</v>
      </c>
      <c r="B18" s="60" t="s">
        <v>81</v>
      </c>
      <c r="C18" s="60" t="s">
        <v>77</v>
      </c>
      <c r="D18" s="60" t="s">
        <v>77</v>
      </c>
      <c r="E18" s="80" t="s">
        <v>85</v>
      </c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2.75">
      <c r="A19" s="83" t="s">
        <v>77</v>
      </c>
      <c r="B19" s="83" t="s">
        <v>77</v>
      </c>
      <c r="C19" s="83" t="s">
        <v>96</v>
      </c>
      <c r="D19" s="83" t="s">
        <v>134</v>
      </c>
      <c r="E19" s="82">
        <f>A5</f>
        <v>60</v>
      </c>
      <c r="F19" s="82">
        <f aca="true" t="shared" si="6" ref="F19:L19">E19+$A$6</f>
        <v>80</v>
      </c>
      <c r="G19" s="82">
        <f t="shared" si="6"/>
        <v>100</v>
      </c>
      <c r="H19" s="82">
        <f t="shared" si="6"/>
        <v>120</v>
      </c>
      <c r="I19" s="82">
        <f t="shared" si="6"/>
        <v>140</v>
      </c>
      <c r="J19" s="82">
        <f t="shared" si="6"/>
        <v>160</v>
      </c>
      <c r="K19" s="82">
        <f t="shared" si="6"/>
        <v>180</v>
      </c>
      <c r="L19" s="82">
        <f t="shared" si="6"/>
        <v>200</v>
      </c>
      <c r="M19" s="78"/>
      <c r="N19" s="78"/>
    </row>
    <row r="20" spans="1:14" ht="12.75">
      <c r="A20" s="84" t="s">
        <v>79</v>
      </c>
      <c r="B20" s="84" t="s">
        <v>79</v>
      </c>
      <c r="C20" s="84" t="s">
        <v>79</v>
      </c>
      <c r="D20" s="60" t="s">
        <v>79</v>
      </c>
      <c r="E20" s="80" t="s">
        <v>88</v>
      </c>
      <c r="F20" s="79"/>
      <c r="G20" s="79"/>
      <c r="H20" s="79"/>
      <c r="I20" s="79"/>
      <c r="J20" s="79"/>
      <c r="K20" s="79"/>
      <c r="L20" s="79"/>
      <c r="M20" s="79"/>
      <c r="N20" s="79"/>
    </row>
    <row r="21" spans="1:14" ht="15.75">
      <c r="A21" s="43"/>
      <c r="B21" s="43"/>
      <c r="C21" s="79"/>
      <c r="D21" s="79"/>
      <c r="E21" s="90"/>
      <c r="F21" s="79"/>
      <c r="G21" s="79"/>
      <c r="H21" s="79"/>
      <c r="I21" s="79"/>
      <c r="J21" s="79"/>
      <c r="K21" s="79"/>
      <c r="L21" s="79"/>
      <c r="M21" s="79"/>
      <c r="N21" s="79"/>
    </row>
    <row r="22" spans="1:17" ht="15.75">
      <c r="A22" s="44">
        <f aca="true" t="shared" si="7" ref="A22:A36">$F$9</f>
        <v>104</v>
      </c>
      <c r="B22" s="44">
        <f>$F$14</f>
        <v>94</v>
      </c>
      <c r="C22" s="44">
        <f aca="true" t="shared" si="8" ref="C22:C36">B22-A22</f>
        <v>-10</v>
      </c>
      <c r="D22" s="99"/>
      <c r="E22" s="94">
        <f aca="true" t="shared" si="9" ref="E22:L36">(($B22*$F$13*0.01)-($A22*$F$8*0.01)-$U$6-(($A$7*($F$6+$F$11)/2)*(1+$A$8)*(E$19/2000)*$A$4))*$A$3</f>
        <v>-6.769917166095873</v>
      </c>
      <c r="F22" s="94">
        <f t="shared" si="9"/>
        <v>-15.283776541095875</v>
      </c>
      <c r="G22" s="94">
        <f t="shared" si="9"/>
        <v>-23.797635916095878</v>
      </c>
      <c r="H22" s="94">
        <f t="shared" si="9"/>
        <v>-32.31149529109587</v>
      </c>
      <c r="I22" s="94">
        <f t="shared" si="9"/>
        <v>-40.82535466609588</v>
      </c>
      <c r="J22" s="94">
        <f t="shared" si="9"/>
        <v>-49.33921404109588</v>
      </c>
      <c r="K22" s="94">
        <f t="shared" si="9"/>
        <v>-57.853073416095874</v>
      </c>
      <c r="L22" s="94">
        <f t="shared" si="9"/>
        <v>-66.36693279109588</v>
      </c>
      <c r="M22" s="79"/>
      <c r="N22" s="79"/>
      <c r="O22" s="57"/>
      <c r="P22" s="57"/>
      <c r="Q22" s="57"/>
    </row>
    <row r="23" spans="1:14" ht="15.75">
      <c r="A23" s="44">
        <f t="shared" si="7"/>
        <v>104</v>
      </c>
      <c r="B23" s="44">
        <f aca="true" t="shared" si="10" ref="B23:B36">B22+1</f>
        <v>95</v>
      </c>
      <c r="C23" s="44">
        <f t="shared" si="8"/>
        <v>-9</v>
      </c>
      <c r="D23" s="116">
        <f aca="true" t="shared" si="11" ref="D23:D36">B23-$B$22</f>
        <v>1</v>
      </c>
      <c r="E23" s="94">
        <f t="shared" si="9"/>
        <v>-0.5830421660957725</v>
      </c>
      <c r="F23" s="94">
        <f t="shared" si="9"/>
        <v>-9.096901541095775</v>
      </c>
      <c r="G23" s="94">
        <f t="shared" si="9"/>
        <v>-17.610760916095778</v>
      </c>
      <c r="H23" s="94">
        <f t="shared" si="9"/>
        <v>-26.124620291095773</v>
      </c>
      <c r="I23" s="94">
        <f t="shared" si="9"/>
        <v>-34.63847966609578</v>
      </c>
      <c r="J23" s="94">
        <f t="shared" si="9"/>
        <v>-43.15233904109578</v>
      </c>
      <c r="K23" s="94">
        <f t="shared" si="9"/>
        <v>-51.666198416095774</v>
      </c>
      <c r="L23" s="94">
        <f t="shared" si="9"/>
        <v>-60.180057791095784</v>
      </c>
      <c r="M23" s="79"/>
      <c r="N23" s="79"/>
    </row>
    <row r="24" spans="1:14" ht="15.75">
      <c r="A24" s="44">
        <f t="shared" si="7"/>
        <v>104</v>
      </c>
      <c r="B24" s="44">
        <f t="shared" si="10"/>
        <v>96</v>
      </c>
      <c r="C24" s="44">
        <f t="shared" si="8"/>
        <v>-8</v>
      </c>
      <c r="D24" s="116">
        <f t="shared" si="11"/>
        <v>2</v>
      </c>
      <c r="E24" s="94">
        <f t="shared" si="9"/>
        <v>5.603832833904214</v>
      </c>
      <c r="F24" s="94">
        <f t="shared" si="9"/>
        <v>-2.910026541095789</v>
      </c>
      <c r="G24" s="94">
        <f t="shared" si="9"/>
        <v>-11.423885916095792</v>
      </c>
      <c r="H24" s="94">
        <f t="shared" si="9"/>
        <v>-19.937745291095787</v>
      </c>
      <c r="I24" s="94">
        <f t="shared" si="9"/>
        <v>-28.451604666095797</v>
      </c>
      <c r="J24" s="94">
        <f t="shared" si="9"/>
        <v>-36.96546404109579</v>
      </c>
      <c r="K24" s="94">
        <f t="shared" si="9"/>
        <v>-45.47932341609579</v>
      </c>
      <c r="L24" s="94">
        <f t="shared" si="9"/>
        <v>-53.9931827910958</v>
      </c>
      <c r="M24" s="79"/>
      <c r="N24" s="79"/>
    </row>
    <row r="25" spans="1:14" ht="15.75">
      <c r="A25" s="44">
        <f t="shared" si="7"/>
        <v>104</v>
      </c>
      <c r="B25" s="44">
        <f t="shared" si="10"/>
        <v>97</v>
      </c>
      <c r="C25" s="44">
        <f t="shared" si="8"/>
        <v>-7</v>
      </c>
      <c r="D25" s="116">
        <f t="shared" si="11"/>
        <v>3</v>
      </c>
      <c r="E25" s="94">
        <f t="shared" si="9"/>
        <v>11.7907078339042</v>
      </c>
      <c r="F25" s="94">
        <f t="shared" si="9"/>
        <v>3.2768484589041975</v>
      </c>
      <c r="G25" s="94">
        <f t="shared" si="9"/>
        <v>-5.237010916095805</v>
      </c>
      <c r="H25" s="94">
        <f t="shared" si="9"/>
        <v>-13.7508702910958</v>
      </c>
      <c r="I25" s="94">
        <f t="shared" si="9"/>
        <v>-22.26472966609581</v>
      </c>
      <c r="J25" s="94">
        <f t="shared" si="9"/>
        <v>-30.778589041095806</v>
      </c>
      <c r="K25" s="94">
        <f t="shared" si="9"/>
        <v>-39.2924484160958</v>
      </c>
      <c r="L25" s="94">
        <f t="shared" si="9"/>
        <v>-47.80630779109581</v>
      </c>
      <c r="M25" s="79"/>
      <c r="N25" s="79"/>
    </row>
    <row r="26" spans="1:14" ht="15.75">
      <c r="A26" s="44">
        <f t="shared" si="7"/>
        <v>104</v>
      </c>
      <c r="B26" s="44">
        <f t="shared" si="10"/>
        <v>98</v>
      </c>
      <c r="C26" s="44">
        <f t="shared" si="8"/>
        <v>-6</v>
      </c>
      <c r="D26" s="116">
        <f t="shared" si="11"/>
        <v>4</v>
      </c>
      <c r="E26" s="94">
        <f t="shared" si="9"/>
        <v>17.977582833904187</v>
      </c>
      <c r="F26" s="94">
        <f t="shared" si="9"/>
        <v>9.463723458904184</v>
      </c>
      <c r="G26" s="94">
        <f t="shared" si="9"/>
        <v>0.9498640839041812</v>
      </c>
      <c r="H26" s="94">
        <f t="shared" si="9"/>
        <v>-7.563995291095814</v>
      </c>
      <c r="I26" s="94">
        <f t="shared" si="9"/>
        <v>-16.077854666095824</v>
      </c>
      <c r="J26" s="94">
        <f t="shared" si="9"/>
        <v>-24.59171404109582</v>
      </c>
      <c r="K26" s="94">
        <f t="shared" si="9"/>
        <v>-33.105573416095815</v>
      </c>
      <c r="L26" s="94">
        <f t="shared" si="9"/>
        <v>-41.619432791095825</v>
      </c>
      <c r="M26" s="79"/>
      <c r="N26" s="79"/>
    </row>
    <row r="27" spans="1:14" s="295" customFormat="1" ht="15.75">
      <c r="A27" s="291">
        <f t="shared" si="7"/>
        <v>104</v>
      </c>
      <c r="B27" s="291">
        <f t="shared" si="10"/>
        <v>99</v>
      </c>
      <c r="C27" s="291">
        <f t="shared" si="8"/>
        <v>-5</v>
      </c>
      <c r="D27" s="292">
        <f t="shared" si="11"/>
        <v>5</v>
      </c>
      <c r="E27" s="293">
        <f t="shared" si="9"/>
        <v>24.164457833904173</v>
      </c>
      <c r="F27" s="293">
        <f t="shared" si="9"/>
        <v>15.65059845890417</v>
      </c>
      <c r="G27" s="293">
        <f t="shared" si="9"/>
        <v>7.136739083904168</v>
      </c>
      <c r="H27" s="293">
        <f t="shared" si="9"/>
        <v>-1.377120291095828</v>
      </c>
      <c r="I27" s="293">
        <f t="shared" si="9"/>
        <v>-9.890979666095838</v>
      </c>
      <c r="J27" s="293">
        <f t="shared" si="9"/>
        <v>-18.404839041095833</v>
      </c>
      <c r="K27" s="293">
        <f t="shared" si="9"/>
        <v>-26.91869841609583</v>
      </c>
      <c r="L27" s="293">
        <f t="shared" si="9"/>
        <v>-35.43255779109584</v>
      </c>
      <c r="M27" s="294"/>
      <c r="N27" s="294"/>
    </row>
    <row r="28" spans="1:14" s="295" customFormat="1" ht="15.75">
      <c r="A28" s="291">
        <f t="shared" si="7"/>
        <v>104</v>
      </c>
      <c r="B28" s="291">
        <f t="shared" si="10"/>
        <v>100</v>
      </c>
      <c r="C28" s="291">
        <f t="shared" si="8"/>
        <v>-4</v>
      </c>
      <c r="D28" s="292">
        <f t="shared" si="11"/>
        <v>6</v>
      </c>
      <c r="E28" s="293">
        <f t="shared" si="9"/>
        <v>30.35133283390416</v>
      </c>
      <c r="F28" s="293">
        <f t="shared" si="9"/>
        <v>21.837473458904157</v>
      </c>
      <c r="G28" s="293">
        <f t="shared" si="9"/>
        <v>13.323614083904154</v>
      </c>
      <c r="H28" s="293">
        <f t="shared" si="9"/>
        <v>4.809754708904158</v>
      </c>
      <c r="I28" s="293">
        <f t="shared" si="9"/>
        <v>-3.7041046660958514</v>
      </c>
      <c r="J28" s="293">
        <f t="shared" si="9"/>
        <v>-12.217964041095847</v>
      </c>
      <c r="K28" s="293">
        <f t="shared" si="9"/>
        <v>-20.731823416095843</v>
      </c>
      <c r="L28" s="293">
        <f t="shared" si="9"/>
        <v>-29.245682791095852</v>
      </c>
      <c r="M28" s="294"/>
      <c r="N28" s="294"/>
    </row>
    <row r="29" spans="1:14" s="295" customFormat="1" ht="15.75">
      <c r="A29" s="291">
        <f t="shared" si="7"/>
        <v>104</v>
      </c>
      <c r="B29" s="291">
        <f t="shared" si="10"/>
        <v>101</v>
      </c>
      <c r="C29" s="291">
        <f t="shared" si="8"/>
        <v>-3</v>
      </c>
      <c r="D29" s="292">
        <f t="shared" si="11"/>
        <v>7</v>
      </c>
      <c r="E29" s="293">
        <f t="shared" si="9"/>
        <v>36.538207833904146</v>
      </c>
      <c r="F29" s="293">
        <f t="shared" si="9"/>
        <v>28.024348458904143</v>
      </c>
      <c r="G29" s="293">
        <f t="shared" si="9"/>
        <v>19.51048908390414</v>
      </c>
      <c r="H29" s="293">
        <f t="shared" si="9"/>
        <v>10.996629708904145</v>
      </c>
      <c r="I29" s="293">
        <f t="shared" si="9"/>
        <v>2.482770333904135</v>
      </c>
      <c r="J29" s="293">
        <f t="shared" si="9"/>
        <v>-6.031089041095861</v>
      </c>
      <c r="K29" s="293">
        <f t="shared" si="9"/>
        <v>-14.544948416095856</v>
      </c>
      <c r="L29" s="293">
        <f t="shared" si="9"/>
        <v>-23.058807791095866</v>
      </c>
      <c r="M29" s="294"/>
      <c r="N29" s="294"/>
    </row>
    <row r="30" spans="1:14" ht="15.75">
      <c r="A30" s="44">
        <f t="shared" si="7"/>
        <v>104</v>
      </c>
      <c r="B30" s="44">
        <f t="shared" si="10"/>
        <v>102</v>
      </c>
      <c r="C30" s="44">
        <f t="shared" si="8"/>
        <v>-2</v>
      </c>
      <c r="D30" s="116">
        <f t="shared" si="11"/>
        <v>8</v>
      </c>
      <c r="E30" s="94">
        <f t="shared" si="9"/>
        <v>42.72508283390414</v>
      </c>
      <c r="F30" s="94">
        <f t="shared" si="9"/>
        <v>34.211223458904136</v>
      </c>
      <c r="G30" s="94">
        <f t="shared" si="9"/>
        <v>25.697364083904134</v>
      </c>
      <c r="H30" s="94">
        <f t="shared" si="9"/>
        <v>17.183504708904138</v>
      </c>
      <c r="I30" s="94">
        <f t="shared" si="9"/>
        <v>8.669645333904128</v>
      </c>
      <c r="J30" s="94">
        <f t="shared" si="9"/>
        <v>0.15578595890413283</v>
      </c>
      <c r="K30" s="94">
        <f t="shared" si="9"/>
        <v>-8.358073416095863</v>
      </c>
      <c r="L30" s="94">
        <f t="shared" si="9"/>
        <v>-16.871932791095873</v>
      </c>
      <c r="M30" s="79"/>
      <c r="N30" s="79"/>
    </row>
    <row r="31" spans="1:14" ht="15.75">
      <c r="A31" s="44">
        <f t="shared" si="7"/>
        <v>104</v>
      </c>
      <c r="B31" s="44">
        <f t="shared" si="10"/>
        <v>103</v>
      </c>
      <c r="C31" s="44">
        <f t="shared" si="8"/>
        <v>-1</v>
      </c>
      <c r="D31" s="116">
        <f t="shared" si="11"/>
        <v>9</v>
      </c>
      <c r="E31" s="94">
        <f t="shared" si="9"/>
        <v>48.911957833904125</v>
      </c>
      <c r="F31" s="94">
        <f t="shared" si="9"/>
        <v>40.39809845890412</v>
      </c>
      <c r="G31" s="94">
        <f t="shared" si="9"/>
        <v>31.88423908390412</v>
      </c>
      <c r="H31" s="94">
        <f t="shared" si="9"/>
        <v>23.370379708904125</v>
      </c>
      <c r="I31" s="94">
        <f t="shared" si="9"/>
        <v>14.856520333904115</v>
      </c>
      <c r="J31" s="94">
        <f t="shared" si="9"/>
        <v>6.342660958904119</v>
      </c>
      <c r="K31" s="94">
        <f t="shared" si="9"/>
        <v>-2.1711984160958764</v>
      </c>
      <c r="L31" s="94">
        <f t="shared" si="9"/>
        <v>-10.685057791095886</v>
      </c>
      <c r="M31" s="79"/>
      <c r="N31" s="79"/>
    </row>
    <row r="32" spans="1:14" ht="15.75">
      <c r="A32" s="44">
        <f t="shared" si="7"/>
        <v>104</v>
      </c>
      <c r="B32" s="44">
        <f t="shared" si="10"/>
        <v>104</v>
      </c>
      <c r="C32" s="44">
        <f t="shared" si="8"/>
        <v>0</v>
      </c>
      <c r="D32" s="116">
        <f t="shared" si="11"/>
        <v>10</v>
      </c>
      <c r="E32" s="94">
        <f t="shared" si="9"/>
        <v>55.098832833904225</v>
      </c>
      <c r="F32" s="94">
        <f t="shared" si="9"/>
        <v>46.58497345890422</v>
      </c>
      <c r="G32" s="94">
        <f t="shared" si="9"/>
        <v>38.07111408390422</v>
      </c>
      <c r="H32" s="94">
        <f t="shared" si="9"/>
        <v>29.557254708904225</v>
      </c>
      <c r="I32" s="94">
        <f t="shared" si="9"/>
        <v>21.043395333904215</v>
      </c>
      <c r="J32" s="94">
        <f t="shared" si="9"/>
        <v>12.52953595890422</v>
      </c>
      <c r="K32" s="94">
        <f t="shared" si="9"/>
        <v>4.015676583904224</v>
      </c>
      <c r="L32" s="94">
        <f t="shared" si="9"/>
        <v>-4.498182791095786</v>
      </c>
      <c r="M32" s="79"/>
      <c r="N32" s="79"/>
    </row>
    <row r="33" spans="1:14" ht="15.75">
      <c r="A33" s="44">
        <f t="shared" si="7"/>
        <v>104</v>
      </c>
      <c r="B33" s="44">
        <f t="shared" si="10"/>
        <v>105</v>
      </c>
      <c r="C33" s="44">
        <f t="shared" si="8"/>
        <v>1</v>
      </c>
      <c r="D33" s="116">
        <f t="shared" si="11"/>
        <v>11</v>
      </c>
      <c r="E33" s="94">
        <f t="shared" si="9"/>
        <v>61.28570783390421</v>
      </c>
      <c r="F33" s="94">
        <f t="shared" si="9"/>
        <v>52.77184845890421</v>
      </c>
      <c r="G33" s="94">
        <f t="shared" si="9"/>
        <v>44.25798908390421</v>
      </c>
      <c r="H33" s="94">
        <f t="shared" si="9"/>
        <v>35.74412970890421</v>
      </c>
      <c r="I33" s="94">
        <f t="shared" si="9"/>
        <v>27.2302703339042</v>
      </c>
      <c r="J33" s="94">
        <f t="shared" si="9"/>
        <v>18.716410958904206</v>
      </c>
      <c r="K33" s="94">
        <f t="shared" si="9"/>
        <v>10.20255158390421</v>
      </c>
      <c r="L33" s="94">
        <f t="shared" si="9"/>
        <v>1.6886922089042002</v>
      </c>
      <c r="M33" s="79"/>
      <c r="N33" s="79"/>
    </row>
    <row r="34" spans="1:14" ht="15.75">
      <c r="A34" s="44">
        <f t="shared" si="7"/>
        <v>104</v>
      </c>
      <c r="B34" s="44">
        <f t="shared" si="10"/>
        <v>106</v>
      </c>
      <c r="C34" s="44">
        <f t="shared" si="8"/>
        <v>2</v>
      </c>
      <c r="D34" s="116">
        <f t="shared" si="11"/>
        <v>12</v>
      </c>
      <c r="E34" s="94">
        <f t="shared" si="9"/>
        <v>67.4725828339042</v>
      </c>
      <c r="F34" s="94">
        <f t="shared" si="9"/>
        <v>58.958723458904196</v>
      </c>
      <c r="G34" s="94">
        <f t="shared" si="9"/>
        <v>50.44486408390419</v>
      </c>
      <c r="H34" s="94">
        <f t="shared" si="9"/>
        <v>41.9310047089042</v>
      </c>
      <c r="I34" s="94">
        <f t="shared" si="9"/>
        <v>33.41714533390419</v>
      </c>
      <c r="J34" s="94">
        <f t="shared" si="9"/>
        <v>24.903285958904192</v>
      </c>
      <c r="K34" s="94">
        <f t="shared" si="9"/>
        <v>16.389426583904196</v>
      </c>
      <c r="L34" s="94">
        <f t="shared" si="9"/>
        <v>7.875567208904187</v>
      </c>
      <c r="M34" s="79"/>
      <c r="N34" s="79"/>
    </row>
    <row r="35" spans="1:14" ht="15.75">
      <c r="A35" s="44">
        <f t="shared" si="7"/>
        <v>104</v>
      </c>
      <c r="B35" s="44">
        <f t="shared" si="10"/>
        <v>107</v>
      </c>
      <c r="C35" s="44">
        <f t="shared" si="8"/>
        <v>3</v>
      </c>
      <c r="D35" s="116">
        <f t="shared" si="11"/>
        <v>13</v>
      </c>
      <c r="E35" s="94">
        <f t="shared" si="9"/>
        <v>73.65945783390418</v>
      </c>
      <c r="F35" s="94">
        <f t="shared" si="9"/>
        <v>65.14559845890417</v>
      </c>
      <c r="G35" s="94">
        <f t="shared" si="9"/>
        <v>56.63173908390418</v>
      </c>
      <c r="H35" s="94">
        <f t="shared" si="9"/>
        <v>48.117879708904184</v>
      </c>
      <c r="I35" s="94">
        <f t="shared" si="9"/>
        <v>39.604020333904174</v>
      </c>
      <c r="J35" s="94">
        <f t="shared" si="9"/>
        <v>31.09016095890418</v>
      </c>
      <c r="K35" s="94">
        <f t="shared" si="9"/>
        <v>22.576301583904183</v>
      </c>
      <c r="L35" s="94">
        <f t="shared" si="9"/>
        <v>14.062442208904173</v>
      </c>
      <c r="M35" s="79"/>
      <c r="N35" s="79"/>
    </row>
    <row r="36" spans="1:14" ht="15.75">
      <c r="A36" s="44">
        <f t="shared" si="7"/>
        <v>104</v>
      </c>
      <c r="B36" s="44">
        <f t="shared" si="10"/>
        <v>108</v>
      </c>
      <c r="C36" s="44">
        <f t="shared" si="8"/>
        <v>4</v>
      </c>
      <c r="D36" s="116">
        <f t="shared" si="11"/>
        <v>14</v>
      </c>
      <c r="E36" s="94">
        <f t="shared" si="9"/>
        <v>79.84633283390417</v>
      </c>
      <c r="F36" s="94">
        <f t="shared" si="9"/>
        <v>71.33247345890416</v>
      </c>
      <c r="G36" s="94">
        <f t="shared" si="9"/>
        <v>62.818614083904166</v>
      </c>
      <c r="H36" s="94">
        <f t="shared" si="9"/>
        <v>54.30475470890417</v>
      </c>
      <c r="I36" s="94">
        <f t="shared" si="9"/>
        <v>45.79089533390416</v>
      </c>
      <c r="J36" s="94">
        <f t="shared" si="9"/>
        <v>37.277035958904165</v>
      </c>
      <c r="K36" s="94">
        <f t="shared" si="9"/>
        <v>28.76317658390417</v>
      </c>
      <c r="L36" s="94">
        <f t="shared" si="9"/>
        <v>20.24931720890416</v>
      </c>
      <c r="M36" s="79"/>
      <c r="N36" s="79"/>
    </row>
    <row r="37" spans="1:14" ht="15.75">
      <c r="A37" s="96"/>
      <c r="B37" s="97"/>
      <c r="C37" s="97"/>
      <c r="D37" s="97"/>
      <c r="E37" s="97"/>
      <c r="F37" s="78"/>
      <c r="G37" s="78"/>
      <c r="H37" s="78"/>
      <c r="I37" s="78"/>
      <c r="J37" s="78"/>
      <c r="K37" s="78"/>
      <c r="L37" s="78"/>
      <c r="M37" s="79"/>
      <c r="N37" s="79"/>
    </row>
    <row r="38" spans="1:14" ht="15.75">
      <c r="A38" s="44" t="s">
        <v>284</v>
      </c>
      <c r="B38" s="43"/>
      <c r="C38" s="43"/>
      <c r="D38" s="43"/>
      <c r="E38" s="43"/>
      <c r="F38" s="79"/>
      <c r="G38" s="79"/>
      <c r="H38" s="79"/>
      <c r="I38" s="79"/>
      <c r="J38" s="79"/>
      <c r="K38" s="79"/>
      <c r="L38" s="79"/>
      <c r="M38" s="79"/>
      <c r="N38" s="79"/>
    </row>
    <row r="40" spans="1:13" ht="12.75">
      <c r="A40" s="78" t="s">
        <v>115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26"/>
    </row>
    <row r="41" spans="1:21" s="1" customFormat="1" ht="18">
      <c r="A41" s="60" t="str">
        <f aca="true" t="shared" si="12" ref="A41:C43">A18</f>
        <v>Stocker</v>
      </c>
      <c r="B41" s="60" t="str">
        <f t="shared" si="12"/>
        <v>Feeder</v>
      </c>
      <c r="C41" s="60" t="str">
        <f t="shared" si="12"/>
        <v>Price</v>
      </c>
      <c r="D41" s="60" t="s">
        <v>109</v>
      </c>
      <c r="E41" s="79" t="str">
        <f>E18</f>
        <v> ------------------------ Feed Cost Per Ton -----------------------------------</v>
      </c>
      <c r="F41" s="79"/>
      <c r="G41" s="79"/>
      <c r="H41" s="79"/>
      <c r="I41" s="79"/>
      <c r="J41" s="79"/>
      <c r="K41" s="79"/>
      <c r="L41" s="79"/>
      <c r="M41"/>
      <c r="N41"/>
      <c r="O41"/>
      <c r="P41"/>
      <c r="Q41"/>
      <c r="R41"/>
      <c r="S41"/>
      <c r="T41"/>
      <c r="U41"/>
    </row>
    <row r="42" spans="1:21" s="1" customFormat="1" ht="18">
      <c r="A42" s="83" t="str">
        <f t="shared" si="12"/>
        <v>Price</v>
      </c>
      <c r="B42" s="83" t="str">
        <f t="shared" si="12"/>
        <v>Price</v>
      </c>
      <c r="C42" s="83" t="str">
        <f t="shared" si="12"/>
        <v>Margin</v>
      </c>
      <c r="D42" s="83" t="s">
        <v>110</v>
      </c>
      <c r="E42" s="82">
        <f>E19</f>
        <v>60</v>
      </c>
      <c r="F42" s="82">
        <f aca="true" t="shared" si="13" ref="F42:L42">F19</f>
        <v>80</v>
      </c>
      <c r="G42" s="82">
        <f t="shared" si="13"/>
        <v>100</v>
      </c>
      <c r="H42" s="82">
        <f t="shared" si="13"/>
        <v>120</v>
      </c>
      <c r="I42" s="82">
        <f t="shared" si="13"/>
        <v>140</v>
      </c>
      <c r="J42" s="82">
        <f t="shared" si="13"/>
        <v>160</v>
      </c>
      <c r="K42" s="82">
        <f t="shared" si="13"/>
        <v>180</v>
      </c>
      <c r="L42" s="82">
        <f t="shared" si="13"/>
        <v>200</v>
      </c>
      <c r="M42" s="26"/>
      <c r="N42"/>
      <c r="O42"/>
      <c r="P42"/>
      <c r="Q42"/>
      <c r="R42"/>
      <c r="S42"/>
      <c r="T42"/>
      <c r="U42"/>
    </row>
    <row r="43" spans="1:21" s="1" customFormat="1" ht="18">
      <c r="A43" s="115" t="str">
        <f t="shared" si="12"/>
        <v>$/Cwt</v>
      </c>
      <c r="B43" s="115" t="str">
        <f t="shared" si="12"/>
        <v>$/Cwt</v>
      </c>
      <c r="C43" s="115" t="str">
        <f t="shared" si="12"/>
        <v>$/Cwt</v>
      </c>
      <c r="D43" s="115" t="str">
        <f>D20</f>
        <v>$/Cwt</v>
      </c>
      <c r="E43" s="119" t="s">
        <v>111</v>
      </c>
      <c r="F43" s="114"/>
      <c r="G43" s="114"/>
      <c r="H43" s="114"/>
      <c r="I43" s="114"/>
      <c r="J43" s="114"/>
      <c r="K43" s="114"/>
      <c r="L43" s="114"/>
      <c r="M43" s="73"/>
      <c r="N43"/>
      <c r="O43"/>
      <c r="P43"/>
      <c r="Q43"/>
      <c r="R43"/>
      <c r="S43"/>
      <c r="T43"/>
      <c r="U43"/>
    </row>
    <row r="44" spans="1:21" s="1" customFormat="1" ht="18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/>
      <c r="N44"/>
      <c r="O44"/>
      <c r="P44"/>
      <c r="Q44"/>
      <c r="R44"/>
      <c r="S44"/>
      <c r="T44"/>
      <c r="U44"/>
    </row>
    <row r="45" spans="1:21" s="1" customFormat="1" ht="18">
      <c r="A45" s="88">
        <f aca="true" t="shared" si="14" ref="A45:C59">A22</f>
        <v>104</v>
      </c>
      <c r="B45" s="88">
        <f t="shared" si="14"/>
        <v>94</v>
      </c>
      <c r="C45" s="88">
        <f t="shared" si="14"/>
        <v>-10</v>
      </c>
      <c r="D45" s="117">
        <f aca="true" t="shared" si="15" ref="D45:D59">($F$13*$B45-$F$8*$A45)/($F$13-$F$8)</f>
        <v>53.97978777160182</v>
      </c>
      <c r="E45" s="100">
        <f aca="true" t="shared" si="16" ref="E45:L59">($U$6+($A$7*($F$6+$F$11)/2)*(1+$A$8)*(E$19/2000)*$A$4)/(($F$13-$F$8)*0.01)</f>
        <v>59.45319225151764</v>
      </c>
      <c r="F45" s="100">
        <f t="shared" si="16"/>
        <v>66.33655506101739</v>
      </c>
      <c r="G45" s="100">
        <f t="shared" si="16"/>
        <v>73.21991787051715</v>
      </c>
      <c r="H45" s="100">
        <f t="shared" si="16"/>
        <v>80.10328068001688</v>
      </c>
      <c r="I45" s="100">
        <f t="shared" si="16"/>
        <v>86.98664348951664</v>
      </c>
      <c r="J45" s="100">
        <f t="shared" si="16"/>
        <v>93.8700062990164</v>
      </c>
      <c r="K45" s="100">
        <f t="shared" si="16"/>
        <v>100.75336910851613</v>
      </c>
      <c r="L45" s="100">
        <f t="shared" si="16"/>
        <v>107.63673191801588</v>
      </c>
      <c r="M45"/>
      <c r="N45"/>
      <c r="O45"/>
      <c r="P45"/>
      <c r="Q45"/>
      <c r="R45"/>
      <c r="S45"/>
      <c r="T45"/>
      <c r="U45"/>
    </row>
    <row r="46" spans="1:21" s="1" customFormat="1" ht="18">
      <c r="A46" s="88">
        <f t="shared" si="14"/>
        <v>104</v>
      </c>
      <c r="B46" s="88">
        <f t="shared" si="14"/>
        <v>95</v>
      </c>
      <c r="C46" s="88">
        <f t="shared" si="14"/>
        <v>-9</v>
      </c>
      <c r="D46" s="117">
        <f t="shared" si="15"/>
        <v>58.981808994441636</v>
      </c>
      <c r="E46" s="100">
        <f t="shared" si="16"/>
        <v>59.45319225151764</v>
      </c>
      <c r="F46" s="100">
        <f t="shared" si="16"/>
        <v>66.33655506101739</v>
      </c>
      <c r="G46" s="100">
        <f t="shared" si="16"/>
        <v>73.21991787051715</v>
      </c>
      <c r="H46" s="100">
        <f t="shared" si="16"/>
        <v>80.10328068001688</v>
      </c>
      <c r="I46" s="100">
        <f t="shared" si="16"/>
        <v>86.98664348951664</v>
      </c>
      <c r="J46" s="100">
        <f t="shared" si="16"/>
        <v>93.8700062990164</v>
      </c>
      <c r="K46" s="100">
        <f t="shared" si="16"/>
        <v>100.75336910851613</v>
      </c>
      <c r="L46" s="100">
        <f t="shared" si="16"/>
        <v>107.63673191801588</v>
      </c>
      <c r="M46"/>
      <c r="N46"/>
      <c r="O46"/>
      <c r="P46"/>
      <c r="Q46"/>
      <c r="R46"/>
      <c r="S46"/>
      <c r="T46"/>
      <c r="U46"/>
    </row>
    <row r="47" spans="1:21" s="1" customFormat="1" ht="18">
      <c r="A47" s="88">
        <f t="shared" si="14"/>
        <v>104</v>
      </c>
      <c r="B47" s="88">
        <f t="shared" si="14"/>
        <v>96</v>
      </c>
      <c r="C47" s="88">
        <f t="shared" si="14"/>
        <v>-8</v>
      </c>
      <c r="D47" s="117">
        <f t="shared" si="15"/>
        <v>63.98383021728146</v>
      </c>
      <c r="E47" s="100">
        <f t="shared" si="16"/>
        <v>59.45319225151764</v>
      </c>
      <c r="F47" s="100">
        <f t="shared" si="16"/>
        <v>66.33655506101739</v>
      </c>
      <c r="G47" s="100">
        <f t="shared" si="16"/>
        <v>73.21991787051715</v>
      </c>
      <c r="H47" s="100">
        <f t="shared" si="16"/>
        <v>80.10328068001688</v>
      </c>
      <c r="I47" s="100">
        <f t="shared" si="16"/>
        <v>86.98664348951664</v>
      </c>
      <c r="J47" s="100">
        <f t="shared" si="16"/>
        <v>93.8700062990164</v>
      </c>
      <c r="K47" s="100">
        <f t="shared" si="16"/>
        <v>100.75336910851613</v>
      </c>
      <c r="L47" s="100">
        <f t="shared" si="16"/>
        <v>107.63673191801588</v>
      </c>
      <c r="M47"/>
      <c r="N47"/>
      <c r="O47"/>
      <c r="P47"/>
      <c r="Q47"/>
      <c r="R47"/>
      <c r="S47"/>
      <c r="T47"/>
      <c r="U47"/>
    </row>
    <row r="48" spans="1:21" s="1" customFormat="1" ht="18">
      <c r="A48" s="88">
        <f t="shared" si="14"/>
        <v>104</v>
      </c>
      <c r="B48" s="88">
        <f t="shared" si="14"/>
        <v>97</v>
      </c>
      <c r="C48" s="88">
        <f t="shared" si="14"/>
        <v>-7</v>
      </c>
      <c r="D48" s="117">
        <f t="shared" si="15"/>
        <v>68.98585144012128</v>
      </c>
      <c r="E48" s="100">
        <f t="shared" si="16"/>
        <v>59.45319225151764</v>
      </c>
      <c r="F48" s="100">
        <f t="shared" si="16"/>
        <v>66.33655506101739</v>
      </c>
      <c r="G48" s="100">
        <f t="shared" si="16"/>
        <v>73.21991787051715</v>
      </c>
      <c r="H48" s="100">
        <f t="shared" si="16"/>
        <v>80.10328068001688</v>
      </c>
      <c r="I48" s="100">
        <f t="shared" si="16"/>
        <v>86.98664348951664</v>
      </c>
      <c r="J48" s="100">
        <f t="shared" si="16"/>
        <v>93.8700062990164</v>
      </c>
      <c r="K48" s="100">
        <f t="shared" si="16"/>
        <v>100.75336910851613</v>
      </c>
      <c r="L48" s="100">
        <f t="shared" si="16"/>
        <v>107.63673191801588</v>
      </c>
      <c r="M48"/>
      <c r="N48"/>
      <c r="O48"/>
      <c r="P48"/>
      <c r="Q48"/>
      <c r="R48"/>
      <c r="S48"/>
      <c r="T48"/>
      <c r="U48"/>
    </row>
    <row r="49" spans="1:21" s="1" customFormat="1" ht="18">
      <c r="A49" s="88">
        <f t="shared" si="14"/>
        <v>104</v>
      </c>
      <c r="B49" s="88">
        <f t="shared" si="14"/>
        <v>98</v>
      </c>
      <c r="C49" s="88">
        <f t="shared" si="14"/>
        <v>-6</v>
      </c>
      <c r="D49" s="117">
        <f t="shared" si="15"/>
        <v>73.9878726629611</v>
      </c>
      <c r="E49" s="100">
        <f t="shared" si="16"/>
        <v>59.45319225151764</v>
      </c>
      <c r="F49" s="100">
        <f t="shared" si="16"/>
        <v>66.33655506101739</v>
      </c>
      <c r="G49" s="100">
        <f t="shared" si="16"/>
        <v>73.21991787051715</v>
      </c>
      <c r="H49" s="100">
        <f t="shared" si="16"/>
        <v>80.10328068001688</v>
      </c>
      <c r="I49" s="100">
        <f t="shared" si="16"/>
        <v>86.98664348951664</v>
      </c>
      <c r="J49" s="100">
        <f t="shared" si="16"/>
        <v>93.8700062990164</v>
      </c>
      <c r="K49" s="100">
        <f t="shared" si="16"/>
        <v>100.75336910851613</v>
      </c>
      <c r="L49" s="100">
        <f t="shared" si="16"/>
        <v>107.63673191801588</v>
      </c>
      <c r="M49"/>
      <c r="N49"/>
      <c r="O49"/>
      <c r="P49"/>
      <c r="Q49"/>
      <c r="R49"/>
      <c r="S49"/>
      <c r="T49"/>
      <c r="U49"/>
    </row>
    <row r="50" spans="1:21" s="1" customFormat="1" ht="18">
      <c r="A50" s="88">
        <f t="shared" si="14"/>
        <v>104</v>
      </c>
      <c r="B50" s="88">
        <f t="shared" si="14"/>
        <v>99</v>
      </c>
      <c r="C50" s="88">
        <f t="shared" si="14"/>
        <v>-5</v>
      </c>
      <c r="D50" s="117">
        <f t="shared" si="15"/>
        <v>78.98989388580091</v>
      </c>
      <c r="E50" s="100">
        <f t="shared" si="16"/>
        <v>59.45319225151764</v>
      </c>
      <c r="F50" s="100">
        <f t="shared" si="16"/>
        <v>66.33655506101739</v>
      </c>
      <c r="G50" s="100">
        <f t="shared" si="16"/>
        <v>73.21991787051715</v>
      </c>
      <c r="H50" s="100">
        <f t="shared" si="16"/>
        <v>80.10328068001688</v>
      </c>
      <c r="I50" s="100">
        <f t="shared" si="16"/>
        <v>86.98664348951664</v>
      </c>
      <c r="J50" s="100">
        <f t="shared" si="16"/>
        <v>93.8700062990164</v>
      </c>
      <c r="K50" s="100">
        <f t="shared" si="16"/>
        <v>100.75336910851613</v>
      </c>
      <c r="L50" s="100">
        <f t="shared" si="16"/>
        <v>107.63673191801588</v>
      </c>
      <c r="M50"/>
      <c r="N50"/>
      <c r="O50"/>
      <c r="P50"/>
      <c r="Q50"/>
      <c r="R50"/>
      <c r="S50"/>
      <c r="T50"/>
      <c r="U50"/>
    </row>
    <row r="51" spans="1:21" s="1" customFormat="1" ht="18">
      <c r="A51" s="88">
        <f t="shared" si="14"/>
        <v>104</v>
      </c>
      <c r="B51" s="88">
        <f t="shared" si="14"/>
        <v>100</v>
      </c>
      <c r="C51" s="88">
        <f t="shared" si="14"/>
        <v>-4</v>
      </c>
      <c r="D51" s="117">
        <f t="shared" si="15"/>
        <v>83.99191510864073</v>
      </c>
      <c r="E51" s="100">
        <f t="shared" si="16"/>
        <v>59.45319225151764</v>
      </c>
      <c r="F51" s="100">
        <f t="shared" si="16"/>
        <v>66.33655506101739</v>
      </c>
      <c r="G51" s="100">
        <f t="shared" si="16"/>
        <v>73.21991787051715</v>
      </c>
      <c r="H51" s="100">
        <f t="shared" si="16"/>
        <v>80.10328068001688</v>
      </c>
      <c r="I51" s="100">
        <f t="shared" si="16"/>
        <v>86.98664348951664</v>
      </c>
      <c r="J51" s="100">
        <f t="shared" si="16"/>
        <v>93.8700062990164</v>
      </c>
      <c r="K51" s="100">
        <f t="shared" si="16"/>
        <v>100.75336910851613</v>
      </c>
      <c r="L51" s="100">
        <f t="shared" si="16"/>
        <v>107.63673191801588</v>
      </c>
      <c r="M51"/>
      <c r="N51"/>
      <c r="O51"/>
      <c r="P51"/>
      <c r="Q51"/>
      <c r="R51"/>
      <c r="S51"/>
      <c r="T51"/>
      <c r="U51"/>
    </row>
    <row r="52" spans="1:21" s="1" customFormat="1" ht="18">
      <c r="A52" s="88">
        <f t="shared" si="14"/>
        <v>104</v>
      </c>
      <c r="B52" s="88">
        <f t="shared" si="14"/>
        <v>101</v>
      </c>
      <c r="C52" s="88">
        <f t="shared" si="14"/>
        <v>-3</v>
      </c>
      <c r="D52" s="117">
        <f t="shared" si="15"/>
        <v>88.99393633148054</v>
      </c>
      <c r="E52" s="100">
        <f t="shared" si="16"/>
        <v>59.45319225151764</v>
      </c>
      <c r="F52" s="100">
        <f t="shared" si="16"/>
        <v>66.33655506101739</v>
      </c>
      <c r="G52" s="100">
        <f t="shared" si="16"/>
        <v>73.21991787051715</v>
      </c>
      <c r="H52" s="100">
        <f t="shared" si="16"/>
        <v>80.10328068001688</v>
      </c>
      <c r="I52" s="100">
        <f t="shared" si="16"/>
        <v>86.98664348951664</v>
      </c>
      <c r="J52" s="100">
        <f t="shared" si="16"/>
        <v>93.8700062990164</v>
      </c>
      <c r="K52" s="100">
        <f t="shared" si="16"/>
        <v>100.75336910851613</v>
      </c>
      <c r="L52" s="100">
        <f t="shared" si="16"/>
        <v>107.63673191801588</v>
      </c>
      <c r="M52"/>
      <c r="N52"/>
      <c r="O52"/>
      <c r="P52"/>
      <c r="Q52"/>
      <c r="R52"/>
      <c r="S52"/>
      <c r="T52"/>
      <c r="U52"/>
    </row>
    <row r="53" spans="1:21" s="1" customFormat="1" ht="18">
      <c r="A53" s="88">
        <f t="shared" si="14"/>
        <v>104</v>
      </c>
      <c r="B53" s="88">
        <f t="shared" si="14"/>
        <v>102</v>
      </c>
      <c r="C53" s="88">
        <f t="shared" si="14"/>
        <v>-2</v>
      </c>
      <c r="D53" s="117">
        <f t="shared" si="15"/>
        <v>93.99595755432037</v>
      </c>
      <c r="E53" s="100">
        <f t="shared" si="16"/>
        <v>59.45319225151764</v>
      </c>
      <c r="F53" s="100">
        <f t="shared" si="16"/>
        <v>66.33655506101739</v>
      </c>
      <c r="G53" s="100">
        <f t="shared" si="16"/>
        <v>73.21991787051715</v>
      </c>
      <c r="H53" s="100">
        <f t="shared" si="16"/>
        <v>80.10328068001688</v>
      </c>
      <c r="I53" s="100">
        <f t="shared" si="16"/>
        <v>86.98664348951664</v>
      </c>
      <c r="J53" s="100">
        <f t="shared" si="16"/>
        <v>93.8700062990164</v>
      </c>
      <c r="K53" s="100">
        <f t="shared" si="16"/>
        <v>100.75336910851613</v>
      </c>
      <c r="L53" s="100">
        <f t="shared" si="16"/>
        <v>107.63673191801588</v>
      </c>
      <c r="M53"/>
      <c r="N53"/>
      <c r="O53"/>
      <c r="P53"/>
      <c r="Q53"/>
      <c r="R53"/>
      <c r="S53"/>
      <c r="T53"/>
      <c r="U53"/>
    </row>
    <row r="54" spans="1:21" s="1" customFormat="1" ht="18">
      <c r="A54" s="88">
        <f t="shared" si="14"/>
        <v>104</v>
      </c>
      <c r="B54" s="88">
        <f t="shared" si="14"/>
        <v>103</v>
      </c>
      <c r="C54" s="88">
        <f t="shared" si="14"/>
        <v>-1</v>
      </c>
      <c r="D54" s="117">
        <f t="shared" si="15"/>
        <v>98.99797877716018</v>
      </c>
      <c r="E54" s="100">
        <f t="shared" si="16"/>
        <v>59.45319225151764</v>
      </c>
      <c r="F54" s="100">
        <f t="shared" si="16"/>
        <v>66.33655506101739</v>
      </c>
      <c r="G54" s="100">
        <f t="shared" si="16"/>
        <v>73.21991787051715</v>
      </c>
      <c r="H54" s="100">
        <f t="shared" si="16"/>
        <v>80.10328068001688</v>
      </c>
      <c r="I54" s="100">
        <f t="shared" si="16"/>
        <v>86.98664348951664</v>
      </c>
      <c r="J54" s="100">
        <f t="shared" si="16"/>
        <v>93.8700062990164</v>
      </c>
      <c r="K54" s="100">
        <f t="shared" si="16"/>
        <v>100.75336910851613</v>
      </c>
      <c r="L54" s="100">
        <f t="shared" si="16"/>
        <v>107.63673191801588</v>
      </c>
      <c r="M54"/>
      <c r="N54"/>
      <c r="O54"/>
      <c r="P54"/>
      <c r="Q54"/>
      <c r="R54"/>
      <c r="S54"/>
      <c r="T54"/>
      <c r="U54"/>
    </row>
    <row r="55" spans="1:21" s="1" customFormat="1" ht="18">
      <c r="A55" s="88">
        <f t="shared" si="14"/>
        <v>104</v>
      </c>
      <c r="B55" s="88">
        <f t="shared" si="14"/>
        <v>104</v>
      </c>
      <c r="C55" s="88">
        <f t="shared" si="14"/>
        <v>0</v>
      </c>
      <c r="D55" s="117">
        <f t="shared" si="15"/>
        <v>104</v>
      </c>
      <c r="E55" s="100">
        <f t="shared" si="16"/>
        <v>59.45319225151764</v>
      </c>
      <c r="F55" s="100">
        <f t="shared" si="16"/>
        <v>66.33655506101739</v>
      </c>
      <c r="G55" s="100">
        <f t="shared" si="16"/>
        <v>73.21991787051715</v>
      </c>
      <c r="H55" s="100">
        <f t="shared" si="16"/>
        <v>80.10328068001688</v>
      </c>
      <c r="I55" s="100">
        <f t="shared" si="16"/>
        <v>86.98664348951664</v>
      </c>
      <c r="J55" s="100">
        <f t="shared" si="16"/>
        <v>93.8700062990164</v>
      </c>
      <c r="K55" s="100">
        <f t="shared" si="16"/>
        <v>100.75336910851613</v>
      </c>
      <c r="L55" s="100">
        <f t="shared" si="16"/>
        <v>107.63673191801588</v>
      </c>
      <c r="M55"/>
      <c r="N55"/>
      <c r="O55"/>
      <c r="P55"/>
      <c r="Q55"/>
      <c r="R55"/>
      <c r="S55"/>
      <c r="T55"/>
      <c r="U55"/>
    </row>
    <row r="56" spans="1:21" s="1" customFormat="1" ht="18">
      <c r="A56" s="88">
        <f t="shared" si="14"/>
        <v>104</v>
      </c>
      <c r="B56" s="88">
        <f t="shared" si="14"/>
        <v>105</v>
      </c>
      <c r="C56" s="88">
        <f t="shared" si="14"/>
        <v>1</v>
      </c>
      <c r="D56" s="117">
        <f t="shared" si="15"/>
        <v>109.00202122283982</v>
      </c>
      <c r="E56" s="100">
        <f t="shared" si="16"/>
        <v>59.45319225151764</v>
      </c>
      <c r="F56" s="100">
        <f t="shared" si="16"/>
        <v>66.33655506101739</v>
      </c>
      <c r="G56" s="100">
        <f t="shared" si="16"/>
        <v>73.21991787051715</v>
      </c>
      <c r="H56" s="100">
        <f t="shared" si="16"/>
        <v>80.10328068001688</v>
      </c>
      <c r="I56" s="100">
        <f t="shared" si="16"/>
        <v>86.98664348951664</v>
      </c>
      <c r="J56" s="100">
        <f t="shared" si="16"/>
        <v>93.8700062990164</v>
      </c>
      <c r="K56" s="100">
        <f t="shared" si="16"/>
        <v>100.75336910851613</v>
      </c>
      <c r="L56" s="100">
        <f t="shared" si="16"/>
        <v>107.63673191801588</v>
      </c>
      <c r="M56"/>
      <c r="N56"/>
      <c r="O56"/>
      <c r="P56"/>
      <c r="Q56"/>
      <c r="R56"/>
      <c r="S56"/>
      <c r="T56"/>
      <c r="U56"/>
    </row>
    <row r="57" spans="1:21" s="1" customFormat="1" ht="18">
      <c r="A57" s="88">
        <f t="shared" si="14"/>
        <v>104</v>
      </c>
      <c r="B57" s="88">
        <f t="shared" si="14"/>
        <v>106</v>
      </c>
      <c r="C57" s="88">
        <f t="shared" si="14"/>
        <v>2</v>
      </c>
      <c r="D57" s="117">
        <f t="shared" si="15"/>
        <v>114.00404244567963</v>
      </c>
      <c r="E57" s="100">
        <f t="shared" si="16"/>
        <v>59.45319225151764</v>
      </c>
      <c r="F57" s="100">
        <f t="shared" si="16"/>
        <v>66.33655506101739</v>
      </c>
      <c r="G57" s="100">
        <f t="shared" si="16"/>
        <v>73.21991787051715</v>
      </c>
      <c r="H57" s="100">
        <f t="shared" si="16"/>
        <v>80.10328068001688</v>
      </c>
      <c r="I57" s="100">
        <f t="shared" si="16"/>
        <v>86.98664348951664</v>
      </c>
      <c r="J57" s="100">
        <f t="shared" si="16"/>
        <v>93.8700062990164</v>
      </c>
      <c r="K57" s="100">
        <f t="shared" si="16"/>
        <v>100.75336910851613</v>
      </c>
      <c r="L57" s="100">
        <f t="shared" si="16"/>
        <v>107.63673191801588</v>
      </c>
      <c r="M57"/>
      <c r="N57"/>
      <c r="O57"/>
      <c r="P57"/>
      <c r="Q57"/>
      <c r="R57"/>
      <c r="S57"/>
      <c r="T57"/>
      <c r="U57"/>
    </row>
    <row r="58" spans="1:21" s="1" customFormat="1" ht="18">
      <c r="A58" s="88">
        <f t="shared" si="14"/>
        <v>104</v>
      </c>
      <c r="B58" s="88">
        <f t="shared" si="14"/>
        <v>107</v>
      </c>
      <c r="C58" s="88">
        <f t="shared" si="14"/>
        <v>3</v>
      </c>
      <c r="D58" s="117">
        <f t="shared" si="15"/>
        <v>119.00606366851946</v>
      </c>
      <c r="E58" s="100">
        <f t="shared" si="16"/>
        <v>59.45319225151764</v>
      </c>
      <c r="F58" s="100">
        <f t="shared" si="16"/>
        <v>66.33655506101739</v>
      </c>
      <c r="G58" s="100">
        <f t="shared" si="16"/>
        <v>73.21991787051715</v>
      </c>
      <c r="H58" s="100">
        <f t="shared" si="16"/>
        <v>80.10328068001688</v>
      </c>
      <c r="I58" s="100">
        <f t="shared" si="16"/>
        <v>86.98664348951664</v>
      </c>
      <c r="J58" s="100">
        <f t="shared" si="16"/>
        <v>93.8700062990164</v>
      </c>
      <c r="K58" s="100">
        <f t="shared" si="16"/>
        <v>100.75336910851613</v>
      </c>
      <c r="L58" s="100">
        <f t="shared" si="16"/>
        <v>107.63673191801588</v>
      </c>
      <c r="M58"/>
      <c r="N58"/>
      <c r="O58"/>
      <c r="P58"/>
      <c r="Q58"/>
      <c r="R58"/>
      <c r="S58"/>
      <c r="T58"/>
      <c r="U58"/>
    </row>
    <row r="59" spans="1:21" s="1" customFormat="1" ht="18">
      <c r="A59" s="88">
        <f t="shared" si="14"/>
        <v>104</v>
      </c>
      <c r="B59" s="88">
        <f t="shared" si="14"/>
        <v>108</v>
      </c>
      <c r="C59" s="88">
        <f t="shared" si="14"/>
        <v>4</v>
      </c>
      <c r="D59" s="117">
        <f t="shared" si="15"/>
        <v>124.00808489135927</v>
      </c>
      <c r="E59" s="100">
        <f t="shared" si="16"/>
        <v>59.45319225151764</v>
      </c>
      <c r="F59" s="100">
        <f t="shared" si="16"/>
        <v>66.33655506101739</v>
      </c>
      <c r="G59" s="100">
        <f t="shared" si="16"/>
        <v>73.21991787051715</v>
      </c>
      <c r="H59" s="100">
        <f t="shared" si="16"/>
        <v>80.10328068001688</v>
      </c>
      <c r="I59" s="100">
        <f t="shared" si="16"/>
        <v>86.98664348951664</v>
      </c>
      <c r="J59" s="100">
        <f t="shared" si="16"/>
        <v>93.8700062990164</v>
      </c>
      <c r="K59" s="100">
        <f t="shared" si="16"/>
        <v>100.75336910851613</v>
      </c>
      <c r="L59" s="100">
        <f t="shared" si="16"/>
        <v>107.63673191801588</v>
      </c>
      <c r="M59"/>
      <c r="N59"/>
      <c r="O59"/>
      <c r="P59"/>
      <c r="Q59"/>
      <c r="R59"/>
      <c r="S59"/>
      <c r="T59"/>
      <c r="U59"/>
    </row>
    <row r="60" spans="1:13" s="1" customFormat="1" ht="18">
      <c r="A60" s="78"/>
      <c r="B60" s="25"/>
      <c r="C60" s="25"/>
      <c r="D60" s="118"/>
      <c r="E60" s="25"/>
      <c r="F60" s="25"/>
      <c r="G60" s="25"/>
      <c r="H60" s="25"/>
      <c r="I60" s="25"/>
      <c r="J60" s="25"/>
      <c r="K60" s="25"/>
      <c r="L60" s="25"/>
      <c r="M60" s="11"/>
    </row>
    <row r="61" spans="1:13" s="1" customFormat="1" ht="18">
      <c r="A61" s="114"/>
      <c r="B61" s="262"/>
      <c r="C61" s="262"/>
      <c r="D61" s="263"/>
      <c r="E61" s="262"/>
      <c r="F61" s="262"/>
      <c r="G61" s="262"/>
      <c r="H61" s="262"/>
      <c r="I61" s="262"/>
      <c r="J61" s="262"/>
      <c r="K61" s="262"/>
      <c r="L61" s="262"/>
      <c r="M61" s="264"/>
    </row>
    <row r="62" spans="1:12" s="1" customFormat="1" ht="18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1:13" s="1" customFormat="1" ht="18">
      <c r="A63" s="78" t="s">
        <v>135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11"/>
    </row>
    <row r="64" spans="1:12" s="1" customFormat="1" ht="18">
      <c r="A64" s="60" t="str">
        <f aca="true" t="shared" si="17" ref="A64:D66">A41</f>
        <v>Stocker</v>
      </c>
      <c r="B64" s="60" t="str">
        <f t="shared" si="17"/>
        <v>Feeder</v>
      </c>
      <c r="C64" s="60" t="str">
        <f t="shared" si="17"/>
        <v>Price</v>
      </c>
      <c r="D64" s="60" t="str">
        <f t="shared" si="17"/>
        <v>Value of</v>
      </c>
      <c r="E64" s="80" t="s">
        <v>114</v>
      </c>
      <c r="F64" s="79"/>
      <c r="G64" s="79"/>
      <c r="H64" s="79"/>
      <c r="I64" s="79"/>
      <c r="J64" s="79"/>
      <c r="K64" s="79"/>
      <c r="L64" s="79"/>
    </row>
    <row r="65" spans="1:13" s="1" customFormat="1" ht="18">
      <c r="A65" s="83" t="str">
        <f t="shared" si="17"/>
        <v>Price</v>
      </c>
      <c r="B65" s="83" t="str">
        <f t="shared" si="17"/>
        <v>Price</v>
      </c>
      <c r="C65" s="83" t="str">
        <f t="shared" si="17"/>
        <v>Margin</v>
      </c>
      <c r="D65" s="83" t="str">
        <f t="shared" si="17"/>
        <v>Gain</v>
      </c>
      <c r="E65" s="82">
        <f aca="true" t="shared" si="18" ref="E65:L65">E42</f>
        <v>60</v>
      </c>
      <c r="F65" s="82">
        <f t="shared" si="18"/>
        <v>80</v>
      </c>
      <c r="G65" s="82">
        <f t="shared" si="18"/>
        <v>100</v>
      </c>
      <c r="H65" s="82">
        <f t="shared" si="18"/>
        <v>120</v>
      </c>
      <c r="I65" s="82">
        <f t="shared" si="18"/>
        <v>140</v>
      </c>
      <c r="J65" s="82">
        <f t="shared" si="18"/>
        <v>160</v>
      </c>
      <c r="K65" s="82">
        <f t="shared" si="18"/>
        <v>180</v>
      </c>
      <c r="L65" s="82">
        <f t="shared" si="18"/>
        <v>200</v>
      </c>
      <c r="M65" s="11"/>
    </row>
    <row r="66" spans="1:12" s="1" customFormat="1" ht="18">
      <c r="A66" s="60" t="str">
        <f t="shared" si="17"/>
        <v>$/Cwt</v>
      </c>
      <c r="B66" s="60" t="str">
        <f t="shared" si="17"/>
        <v>$/Cwt</v>
      </c>
      <c r="C66" s="60" t="str">
        <f t="shared" si="17"/>
        <v>$/Cwt</v>
      </c>
      <c r="D66" s="60" t="str">
        <f t="shared" si="17"/>
        <v>$/Cwt</v>
      </c>
      <c r="E66" s="80" t="s">
        <v>136</v>
      </c>
      <c r="F66" s="79"/>
      <c r="G66" s="79"/>
      <c r="H66" s="79"/>
      <c r="I66" s="79"/>
      <c r="J66" s="79"/>
      <c r="K66" s="79"/>
      <c r="L66" s="79"/>
    </row>
    <row r="67" spans="1:12" s="1" customFormat="1" ht="18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 s="1" customFormat="1" ht="18">
      <c r="A68" s="88">
        <f aca="true" t="shared" si="19" ref="A68:D82">A45</f>
        <v>104</v>
      </c>
      <c r="B68" s="88">
        <f t="shared" si="19"/>
        <v>94</v>
      </c>
      <c r="C68" s="88">
        <f t="shared" si="19"/>
        <v>-10</v>
      </c>
      <c r="D68" s="88">
        <f t="shared" si="19"/>
        <v>53.97978777160182</v>
      </c>
      <c r="E68" s="101">
        <f aca="true" t="shared" si="20" ref="E68:L82">($D68-E45)*(($F$13-$F$8)*0.01)</f>
        <v>-6.7699171660958815</v>
      </c>
      <c r="F68" s="101">
        <f t="shared" si="20"/>
        <v>-15.283776541095884</v>
      </c>
      <c r="G68" s="101">
        <f t="shared" si="20"/>
        <v>-23.7976359160959</v>
      </c>
      <c r="H68" s="101">
        <f t="shared" si="20"/>
        <v>-32.31149529109587</v>
      </c>
      <c r="I68" s="101">
        <f t="shared" si="20"/>
        <v>-40.82535466609589</v>
      </c>
      <c r="J68" s="101">
        <f t="shared" si="20"/>
        <v>-49.3392140410959</v>
      </c>
      <c r="K68" s="101">
        <f t="shared" si="20"/>
        <v>-57.853073416095874</v>
      </c>
      <c r="L68" s="101">
        <f t="shared" si="20"/>
        <v>-66.36693279109589</v>
      </c>
    </row>
    <row r="69" spans="1:12" s="1" customFormat="1" ht="18">
      <c r="A69" s="88">
        <f t="shared" si="19"/>
        <v>104</v>
      </c>
      <c r="B69" s="88">
        <f t="shared" si="19"/>
        <v>95</v>
      </c>
      <c r="C69" s="88">
        <f t="shared" si="19"/>
        <v>-9</v>
      </c>
      <c r="D69" s="88">
        <f t="shared" si="19"/>
        <v>58.981808994441636</v>
      </c>
      <c r="E69" s="101">
        <f t="shared" si="20"/>
        <v>-0.5830421660958851</v>
      </c>
      <c r="F69" s="101">
        <f t="shared" si="20"/>
        <v>-9.096901541095889</v>
      </c>
      <c r="G69" s="101">
        <f t="shared" si="20"/>
        <v>-17.610760916095902</v>
      </c>
      <c r="H69" s="101">
        <f t="shared" si="20"/>
        <v>-26.12462029109588</v>
      </c>
      <c r="I69" s="101">
        <f t="shared" si="20"/>
        <v>-34.63847966609589</v>
      </c>
      <c r="J69" s="101">
        <f t="shared" si="20"/>
        <v>-43.15233904109591</v>
      </c>
      <c r="K69" s="101">
        <f t="shared" si="20"/>
        <v>-51.66619841609588</v>
      </c>
      <c r="L69" s="101">
        <f t="shared" si="20"/>
        <v>-60.1800577910959</v>
      </c>
    </row>
    <row r="70" spans="1:12" s="1" customFormat="1" ht="18">
      <c r="A70" s="88">
        <f t="shared" si="19"/>
        <v>104</v>
      </c>
      <c r="B70" s="88">
        <f t="shared" si="19"/>
        <v>96</v>
      </c>
      <c r="C70" s="88">
        <f t="shared" si="19"/>
        <v>-8</v>
      </c>
      <c r="D70" s="88">
        <f t="shared" si="19"/>
        <v>63.98383021728146</v>
      </c>
      <c r="E70" s="101">
        <f t="shared" si="20"/>
        <v>5.60383283390412</v>
      </c>
      <c r="F70" s="101">
        <f t="shared" si="20"/>
        <v>-2.9100265410958843</v>
      </c>
      <c r="G70" s="101">
        <f t="shared" si="20"/>
        <v>-11.423885916095896</v>
      </c>
      <c r="H70" s="101">
        <f t="shared" si="20"/>
        <v>-19.937745291095876</v>
      </c>
      <c r="I70" s="101">
        <f t="shared" si="20"/>
        <v>-28.451604666095886</v>
      </c>
      <c r="J70" s="101">
        <f t="shared" si="20"/>
        <v>-36.9654640410959</v>
      </c>
      <c r="K70" s="101">
        <f t="shared" si="20"/>
        <v>-45.47932341609588</v>
      </c>
      <c r="L70" s="101">
        <f t="shared" si="20"/>
        <v>-53.99318279109589</v>
      </c>
    </row>
    <row r="71" spans="1:12" s="1" customFormat="1" ht="18">
      <c r="A71" s="88">
        <f t="shared" si="19"/>
        <v>104</v>
      </c>
      <c r="B71" s="88">
        <f t="shared" si="19"/>
        <v>97</v>
      </c>
      <c r="C71" s="88">
        <f t="shared" si="19"/>
        <v>-7</v>
      </c>
      <c r="D71" s="88">
        <f t="shared" si="19"/>
        <v>68.98585144012128</v>
      </c>
      <c r="E71" s="101">
        <f t="shared" si="20"/>
        <v>11.790707833904124</v>
      </c>
      <c r="F71" s="101">
        <f t="shared" si="20"/>
        <v>3.2768484589041207</v>
      </c>
      <c r="G71" s="101">
        <f t="shared" si="20"/>
        <v>-5.237010916095892</v>
      </c>
      <c r="H71" s="101">
        <f t="shared" si="20"/>
        <v>-13.75087029109587</v>
      </c>
      <c r="I71" s="101">
        <f t="shared" si="20"/>
        <v>-22.26472966609588</v>
      </c>
      <c r="J71" s="101">
        <f t="shared" si="20"/>
        <v>-30.778589041095895</v>
      </c>
      <c r="K71" s="101">
        <f t="shared" si="20"/>
        <v>-39.29244841609587</v>
      </c>
      <c r="L71" s="101">
        <f t="shared" si="20"/>
        <v>-47.80630779109588</v>
      </c>
    </row>
    <row r="72" spans="1:12" s="1" customFormat="1" ht="18">
      <c r="A72" s="88">
        <f t="shared" si="19"/>
        <v>104</v>
      </c>
      <c r="B72" s="88">
        <f t="shared" si="19"/>
        <v>98</v>
      </c>
      <c r="C72" s="88">
        <f t="shared" si="19"/>
        <v>-6</v>
      </c>
      <c r="D72" s="88">
        <f t="shared" si="19"/>
        <v>73.9878726629611</v>
      </c>
      <c r="E72" s="101">
        <f t="shared" si="20"/>
        <v>17.97758283390412</v>
      </c>
      <c r="F72" s="101">
        <f t="shared" si="20"/>
        <v>9.463723458904116</v>
      </c>
      <c r="G72" s="101">
        <f t="shared" si="20"/>
        <v>0.949864083904104</v>
      </c>
      <c r="H72" s="101">
        <f t="shared" si="20"/>
        <v>-7.563995291095873</v>
      </c>
      <c r="I72" s="101">
        <f t="shared" si="20"/>
        <v>-16.077854666095885</v>
      </c>
      <c r="J72" s="101">
        <f t="shared" si="20"/>
        <v>-24.591714041095898</v>
      </c>
      <c r="K72" s="101">
        <f t="shared" si="20"/>
        <v>-33.10557341609588</v>
      </c>
      <c r="L72" s="101">
        <f t="shared" si="20"/>
        <v>-41.61943279109589</v>
      </c>
    </row>
    <row r="73" spans="1:12" s="1" customFormat="1" ht="18">
      <c r="A73" s="88">
        <f t="shared" si="19"/>
        <v>104</v>
      </c>
      <c r="B73" s="88">
        <f t="shared" si="19"/>
        <v>99</v>
      </c>
      <c r="C73" s="88">
        <f t="shared" si="19"/>
        <v>-5</v>
      </c>
      <c r="D73" s="88">
        <f t="shared" si="19"/>
        <v>78.98989388580091</v>
      </c>
      <c r="E73" s="101">
        <f t="shared" si="20"/>
        <v>24.164457833904116</v>
      </c>
      <c r="F73" s="101">
        <f t="shared" si="20"/>
        <v>15.650598458904113</v>
      </c>
      <c r="G73" s="101">
        <f t="shared" si="20"/>
        <v>7.1367390839041</v>
      </c>
      <c r="H73" s="101">
        <f t="shared" si="20"/>
        <v>-1.3771202910958773</v>
      </c>
      <c r="I73" s="101">
        <f t="shared" si="20"/>
        <v>-9.89097966609589</v>
      </c>
      <c r="J73" s="101">
        <f t="shared" si="20"/>
        <v>-18.404839041095904</v>
      </c>
      <c r="K73" s="101">
        <f t="shared" si="20"/>
        <v>-26.91869841609588</v>
      </c>
      <c r="L73" s="101">
        <f t="shared" si="20"/>
        <v>-35.432557791095896</v>
      </c>
    </row>
    <row r="74" spans="1:12" s="1" customFormat="1" ht="18">
      <c r="A74" s="88">
        <f t="shared" si="19"/>
        <v>104</v>
      </c>
      <c r="B74" s="88">
        <f t="shared" si="19"/>
        <v>100</v>
      </c>
      <c r="C74" s="88">
        <f t="shared" si="19"/>
        <v>-4</v>
      </c>
      <c r="D74" s="88">
        <f t="shared" si="19"/>
        <v>83.99191510864073</v>
      </c>
      <c r="E74" s="101">
        <f t="shared" si="20"/>
        <v>30.351332833904113</v>
      </c>
      <c r="F74" s="101">
        <f t="shared" si="20"/>
        <v>21.83747345890411</v>
      </c>
      <c r="G74" s="101">
        <f t="shared" si="20"/>
        <v>13.323614083904095</v>
      </c>
      <c r="H74" s="101">
        <f t="shared" si="20"/>
        <v>4.809754708904118</v>
      </c>
      <c r="I74" s="101">
        <f t="shared" si="20"/>
        <v>-3.704104666095894</v>
      </c>
      <c r="J74" s="101">
        <f t="shared" si="20"/>
        <v>-12.217964041095907</v>
      </c>
      <c r="K74" s="101">
        <f t="shared" si="20"/>
        <v>-20.731823416095885</v>
      </c>
      <c r="L74" s="101">
        <f t="shared" si="20"/>
        <v>-29.2456827910959</v>
      </c>
    </row>
    <row r="75" spans="1:12" s="1" customFormat="1" ht="18">
      <c r="A75" s="88">
        <f t="shared" si="19"/>
        <v>104</v>
      </c>
      <c r="B75" s="88">
        <f t="shared" si="19"/>
        <v>101</v>
      </c>
      <c r="C75" s="88">
        <f t="shared" si="19"/>
        <v>-3</v>
      </c>
      <c r="D75" s="88">
        <f t="shared" si="19"/>
        <v>88.99393633148054</v>
      </c>
      <c r="E75" s="101">
        <f t="shared" si="20"/>
        <v>36.53820783390411</v>
      </c>
      <c r="F75" s="101">
        <f t="shared" si="20"/>
        <v>28.024348458904104</v>
      </c>
      <c r="G75" s="101">
        <f t="shared" si="20"/>
        <v>19.51048908390409</v>
      </c>
      <c r="H75" s="101">
        <f t="shared" si="20"/>
        <v>10.996629708904115</v>
      </c>
      <c r="I75" s="101">
        <f t="shared" si="20"/>
        <v>2.482770333904102</v>
      </c>
      <c r="J75" s="101">
        <f t="shared" si="20"/>
        <v>-6.03108904109591</v>
      </c>
      <c r="K75" s="101">
        <f t="shared" si="20"/>
        <v>-14.544948416095888</v>
      </c>
      <c r="L75" s="101">
        <f t="shared" si="20"/>
        <v>-23.0588077910959</v>
      </c>
    </row>
    <row r="76" spans="1:12" s="1" customFormat="1" ht="18">
      <c r="A76" s="88">
        <f t="shared" si="19"/>
        <v>104</v>
      </c>
      <c r="B76" s="88">
        <f t="shared" si="19"/>
        <v>102</v>
      </c>
      <c r="C76" s="88">
        <f t="shared" si="19"/>
        <v>-2</v>
      </c>
      <c r="D76" s="88">
        <f t="shared" si="19"/>
        <v>93.99595755432037</v>
      </c>
      <c r="E76" s="101">
        <f t="shared" si="20"/>
        <v>42.725082833904125</v>
      </c>
      <c r="F76" s="101">
        <f t="shared" si="20"/>
        <v>34.211223458904115</v>
      </c>
      <c r="G76" s="101">
        <f t="shared" si="20"/>
        <v>25.697364083904105</v>
      </c>
      <c r="H76" s="101">
        <f t="shared" si="20"/>
        <v>17.183504708904128</v>
      </c>
      <c r="I76" s="101">
        <f t="shared" si="20"/>
        <v>8.669645333904116</v>
      </c>
      <c r="J76" s="101">
        <f t="shared" si="20"/>
        <v>0.15578595890410296</v>
      </c>
      <c r="K76" s="101">
        <f t="shared" si="20"/>
        <v>-8.358073416095875</v>
      </c>
      <c r="L76" s="101">
        <f t="shared" si="20"/>
        <v>-16.871932791095887</v>
      </c>
    </row>
    <row r="77" spans="1:12" s="1" customFormat="1" ht="18">
      <c r="A77" s="88">
        <f t="shared" si="19"/>
        <v>104</v>
      </c>
      <c r="B77" s="88">
        <f t="shared" si="19"/>
        <v>103</v>
      </c>
      <c r="C77" s="88">
        <f t="shared" si="19"/>
        <v>-1</v>
      </c>
      <c r="D77" s="88">
        <f t="shared" si="19"/>
        <v>98.99797877716018</v>
      </c>
      <c r="E77" s="101">
        <f t="shared" si="20"/>
        <v>48.91195783390412</v>
      </c>
      <c r="F77" s="101">
        <f t="shared" si="20"/>
        <v>40.398098458904116</v>
      </c>
      <c r="G77" s="101">
        <f t="shared" si="20"/>
        <v>31.884239083904102</v>
      </c>
      <c r="H77" s="101">
        <f t="shared" si="20"/>
        <v>23.370379708904125</v>
      </c>
      <c r="I77" s="101">
        <f t="shared" si="20"/>
        <v>14.856520333904111</v>
      </c>
      <c r="J77" s="101">
        <f t="shared" si="20"/>
        <v>6.342660958904099</v>
      </c>
      <c r="K77" s="101">
        <f t="shared" si="20"/>
        <v>-2.1711984160958786</v>
      </c>
      <c r="L77" s="101">
        <f t="shared" si="20"/>
        <v>-10.685057791095891</v>
      </c>
    </row>
    <row r="78" spans="1:12" s="1" customFormat="1" ht="18">
      <c r="A78" s="88">
        <f t="shared" si="19"/>
        <v>104</v>
      </c>
      <c r="B78" s="88">
        <f t="shared" si="19"/>
        <v>104</v>
      </c>
      <c r="C78" s="88">
        <f t="shared" si="19"/>
        <v>0</v>
      </c>
      <c r="D78" s="88">
        <f t="shared" si="19"/>
        <v>104</v>
      </c>
      <c r="E78" s="101">
        <f t="shared" si="20"/>
        <v>55.09883283390411</v>
      </c>
      <c r="F78" s="101">
        <f t="shared" si="20"/>
        <v>46.58497345890411</v>
      </c>
      <c r="G78" s="101">
        <f t="shared" si="20"/>
        <v>38.0711140839041</v>
      </c>
      <c r="H78" s="101">
        <f t="shared" si="20"/>
        <v>29.55725470890412</v>
      </c>
      <c r="I78" s="101">
        <f t="shared" si="20"/>
        <v>21.043395333904108</v>
      </c>
      <c r="J78" s="101">
        <f t="shared" si="20"/>
        <v>12.529535958904095</v>
      </c>
      <c r="K78" s="101">
        <f t="shared" si="20"/>
        <v>4.015676583904118</v>
      </c>
      <c r="L78" s="101">
        <f t="shared" si="20"/>
        <v>-4.498182791095895</v>
      </c>
    </row>
    <row r="79" spans="1:12" s="1" customFormat="1" ht="18">
      <c r="A79" s="88">
        <f t="shared" si="19"/>
        <v>104</v>
      </c>
      <c r="B79" s="88">
        <f t="shared" si="19"/>
        <v>105</v>
      </c>
      <c r="C79" s="88">
        <f t="shared" si="19"/>
        <v>1</v>
      </c>
      <c r="D79" s="88">
        <f t="shared" si="19"/>
        <v>109.00202122283982</v>
      </c>
      <c r="E79" s="101">
        <f t="shared" si="20"/>
        <v>61.28570783390411</v>
      </c>
      <c r="F79" s="101">
        <f t="shared" si="20"/>
        <v>52.77184845890411</v>
      </c>
      <c r="G79" s="101">
        <f t="shared" si="20"/>
        <v>44.25798908390409</v>
      </c>
      <c r="H79" s="101">
        <f t="shared" si="20"/>
        <v>35.74412970890412</v>
      </c>
      <c r="I79" s="101">
        <f t="shared" si="20"/>
        <v>27.230270333904105</v>
      </c>
      <c r="J79" s="101">
        <f t="shared" si="20"/>
        <v>18.716410958904092</v>
      </c>
      <c r="K79" s="101">
        <f t="shared" si="20"/>
        <v>10.202551583904114</v>
      </c>
      <c r="L79" s="101">
        <f t="shared" si="20"/>
        <v>1.688692208904101</v>
      </c>
    </row>
    <row r="80" spans="1:12" s="1" customFormat="1" ht="18">
      <c r="A80" s="88">
        <f t="shared" si="19"/>
        <v>104</v>
      </c>
      <c r="B80" s="88">
        <f t="shared" si="19"/>
        <v>106</v>
      </c>
      <c r="C80" s="88">
        <f t="shared" si="19"/>
        <v>2</v>
      </c>
      <c r="D80" s="88">
        <f t="shared" si="19"/>
        <v>114.00404244567963</v>
      </c>
      <c r="E80" s="101">
        <f t="shared" si="20"/>
        <v>67.47258283390411</v>
      </c>
      <c r="F80" s="101">
        <f t="shared" si="20"/>
        <v>58.9587234589041</v>
      </c>
      <c r="G80" s="101">
        <f t="shared" si="20"/>
        <v>50.44486408390409</v>
      </c>
      <c r="H80" s="101">
        <f t="shared" si="20"/>
        <v>41.93100470890411</v>
      </c>
      <c r="I80" s="101">
        <f t="shared" si="20"/>
        <v>33.4171453339041</v>
      </c>
      <c r="J80" s="101">
        <f t="shared" si="20"/>
        <v>24.903285958904085</v>
      </c>
      <c r="K80" s="101">
        <f t="shared" si="20"/>
        <v>16.38942658390411</v>
      </c>
      <c r="L80" s="101">
        <f t="shared" si="20"/>
        <v>7.875567208904097</v>
      </c>
    </row>
    <row r="81" spans="1:12" s="1" customFormat="1" ht="18">
      <c r="A81" s="88">
        <f t="shared" si="19"/>
        <v>104</v>
      </c>
      <c r="B81" s="88">
        <f t="shared" si="19"/>
        <v>107</v>
      </c>
      <c r="C81" s="88">
        <f t="shared" si="19"/>
        <v>3</v>
      </c>
      <c r="D81" s="88">
        <f t="shared" si="19"/>
        <v>119.00606366851946</v>
      </c>
      <c r="E81" s="101">
        <f t="shared" si="20"/>
        <v>73.65945783390411</v>
      </c>
      <c r="F81" s="101">
        <f t="shared" si="20"/>
        <v>65.14559845890412</v>
      </c>
      <c r="G81" s="101">
        <f t="shared" si="20"/>
        <v>56.6317390839041</v>
      </c>
      <c r="H81" s="101">
        <f t="shared" si="20"/>
        <v>48.11787970890413</v>
      </c>
      <c r="I81" s="101">
        <f t="shared" si="20"/>
        <v>39.60402033390411</v>
      </c>
      <c r="J81" s="101">
        <f t="shared" si="20"/>
        <v>31.0901609589041</v>
      </c>
      <c r="K81" s="101">
        <f t="shared" si="20"/>
        <v>22.576301583904122</v>
      </c>
      <c r="L81" s="101">
        <f t="shared" si="20"/>
        <v>14.06244220890411</v>
      </c>
    </row>
    <row r="82" spans="1:12" s="1" customFormat="1" ht="18">
      <c r="A82" s="88">
        <f t="shared" si="19"/>
        <v>104</v>
      </c>
      <c r="B82" s="88">
        <f t="shared" si="19"/>
        <v>108</v>
      </c>
      <c r="C82" s="88">
        <f t="shared" si="19"/>
        <v>4</v>
      </c>
      <c r="D82" s="88">
        <f t="shared" si="19"/>
        <v>124.00808489135927</v>
      </c>
      <c r="E82" s="101">
        <f t="shared" si="20"/>
        <v>79.84633283390411</v>
      </c>
      <c r="F82" s="101">
        <f t="shared" si="20"/>
        <v>71.33247345890412</v>
      </c>
      <c r="G82" s="101">
        <f t="shared" si="20"/>
        <v>62.8186140839041</v>
      </c>
      <c r="H82" s="101">
        <f t="shared" si="20"/>
        <v>54.30475470890412</v>
      </c>
      <c r="I82" s="101">
        <f t="shared" si="20"/>
        <v>45.79089533390411</v>
      </c>
      <c r="J82" s="101">
        <f t="shared" si="20"/>
        <v>37.277035958904094</v>
      </c>
      <c r="K82" s="101">
        <f t="shared" si="20"/>
        <v>28.76317658390412</v>
      </c>
      <c r="L82" s="101">
        <f t="shared" si="20"/>
        <v>20.249317208904106</v>
      </c>
    </row>
    <row r="83" spans="1:13" s="1" customFormat="1" ht="18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11"/>
    </row>
    <row r="84" spans="1:12" s="1" customFormat="1" ht="18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1:12" s="1" customFormat="1" ht="18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1:12" s="1" customFormat="1" ht="18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1:12" s="1" customFormat="1" ht="18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1:12" s="1" customFormat="1" ht="18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1:12" s="1" customFormat="1" ht="18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1:12" s="1" customFormat="1" ht="18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1:12" s="1" customFormat="1" ht="18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1:12" s="1" customFormat="1" ht="18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="1" customFormat="1" ht="18"/>
    <row r="94" s="1" customFormat="1" ht="18"/>
    <row r="95" s="1" customFormat="1" ht="18"/>
    <row r="96" s="1" customFormat="1" ht="18"/>
    <row r="97" s="1" customFormat="1" ht="18"/>
    <row r="98" s="1" customFormat="1" ht="18"/>
    <row r="99" s="1" customFormat="1" ht="18"/>
    <row r="100" s="1" customFormat="1" ht="18"/>
    <row r="101" s="1" customFormat="1" ht="18"/>
    <row r="102" s="1" customFormat="1" ht="18"/>
    <row r="103" s="1" customFormat="1" ht="18"/>
    <row r="104" s="1" customFormat="1" ht="18"/>
    <row r="105" s="1" customFormat="1" ht="18"/>
    <row r="106" s="1" customFormat="1" ht="18"/>
    <row r="107" s="1" customFormat="1" ht="18"/>
    <row r="108" s="1" customFormat="1" ht="18"/>
    <row r="109" s="1" customFormat="1" ht="18"/>
    <row r="110" s="1" customFormat="1" ht="18"/>
    <row r="111" s="1" customFormat="1" ht="18"/>
    <row r="112" s="1" customFormat="1" ht="18"/>
    <row r="113" s="1" customFormat="1" ht="18"/>
    <row r="114" s="1" customFormat="1" ht="18"/>
    <row r="115" s="1" customFormat="1" ht="18"/>
    <row r="116" s="1" customFormat="1" ht="18"/>
    <row r="117" s="1" customFormat="1" ht="18"/>
    <row r="118" s="1" customFormat="1" ht="18"/>
    <row r="119" s="1" customFormat="1" ht="18"/>
    <row r="120" s="1" customFormat="1" ht="18"/>
    <row r="121" s="1" customFormat="1" ht="18"/>
    <row r="122" s="1" customFormat="1" ht="18"/>
    <row r="123" s="1" customFormat="1" ht="18"/>
    <row r="124" s="1" customFormat="1" ht="18"/>
    <row r="125" s="1" customFormat="1" ht="18"/>
    <row r="126" s="1" customFormat="1" ht="18"/>
    <row r="127" s="1" customFormat="1" ht="18"/>
    <row r="128" s="1" customFormat="1" ht="18"/>
    <row r="129" s="1" customFormat="1" ht="18"/>
    <row r="130" s="1" customFormat="1" ht="18"/>
    <row r="131" s="1" customFormat="1" ht="18"/>
    <row r="132" s="1" customFormat="1" ht="18"/>
    <row r="133" s="1" customFormat="1" ht="18"/>
    <row r="134" s="1" customFormat="1" ht="18"/>
    <row r="135" s="1" customFormat="1" ht="18"/>
    <row r="136" s="1" customFormat="1" ht="18"/>
    <row r="137" s="1" customFormat="1" ht="18"/>
    <row r="138" s="1" customFormat="1" ht="18"/>
    <row r="139" s="1" customFormat="1" ht="18"/>
    <row r="140" s="1" customFormat="1" ht="18"/>
    <row r="141" s="1" customFormat="1" ht="18"/>
    <row r="142" s="1" customFormat="1" ht="18"/>
    <row r="143" s="1" customFormat="1" ht="18"/>
    <row r="144" s="1" customFormat="1" ht="18"/>
    <row r="145" s="1" customFormat="1" ht="18"/>
    <row r="146" s="1" customFormat="1" ht="18"/>
    <row r="147" s="1" customFormat="1" ht="18"/>
    <row r="148" s="1" customFormat="1" ht="18"/>
    <row r="149" s="1" customFormat="1" ht="18"/>
    <row r="150" s="1" customFormat="1" ht="18"/>
    <row r="151" s="1" customFormat="1" ht="18"/>
    <row r="152" s="1" customFormat="1" ht="18"/>
    <row r="153" s="1" customFormat="1" ht="18"/>
    <row r="154" s="1" customFormat="1" ht="18"/>
    <row r="155" s="1" customFormat="1" ht="18"/>
    <row r="156" s="1" customFormat="1" ht="18"/>
    <row r="157" s="1" customFormat="1" ht="18"/>
    <row r="158" s="1" customFormat="1" ht="18"/>
    <row r="159" s="1" customFormat="1" ht="18"/>
    <row r="160" s="1" customFormat="1" ht="18"/>
    <row r="161" s="1" customFormat="1" ht="18"/>
    <row r="162" s="1" customFormat="1" ht="18"/>
    <row r="163" s="1" customFormat="1" ht="18"/>
    <row r="164" s="1" customFormat="1" ht="18"/>
    <row r="165" s="1" customFormat="1" ht="18"/>
    <row r="166" s="1" customFormat="1" ht="18"/>
    <row r="167" s="1" customFormat="1" ht="18"/>
    <row r="168" s="1" customFormat="1" ht="18"/>
    <row r="169" s="1" customFormat="1" ht="18"/>
    <row r="170" s="1" customFormat="1" ht="18"/>
    <row r="171" s="1" customFormat="1" ht="18"/>
    <row r="172" s="1" customFormat="1" ht="18"/>
    <row r="173" s="1" customFormat="1" ht="18"/>
    <row r="174" s="1" customFormat="1" ht="18"/>
    <row r="175" s="1" customFormat="1" ht="18"/>
    <row r="176" s="1" customFormat="1" ht="18"/>
    <row r="177" s="1" customFormat="1" ht="18"/>
    <row r="178" s="1" customFormat="1" ht="18"/>
    <row r="179" s="1" customFormat="1" ht="18"/>
    <row r="180" s="1" customFormat="1" ht="18"/>
    <row r="181" s="1" customFormat="1" ht="18"/>
    <row r="182" s="1" customFormat="1" ht="18"/>
    <row r="183" s="1" customFormat="1" ht="18"/>
    <row r="184" s="1" customFormat="1" ht="18"/>
    <row r="185" s="1" customFormat="1" ht="18"/>
    <row r="186" s="1" customFormat="1" ht="18"/>
    <row r="187" s="1" customFormat="1" ht="18"/>
    <row r="188" s="1" customFormat="1" ht="18"/>
    <row r="189" s="1" customFormat="1" ht="18"/>
    <row r="190" s="1" customFormat="1" ht="18"/>
    <row r="191" s="1" customFormat="1" ht="18"/>
    <row r="192" s="1" customFormat="1" ht="18"/>
    <row r="193" s="1" customFormat="1" ht="18"/>
    <row r="194" s="1" customFormat="1" ht="18"/>
    <row r="195" s="1" customFormat="1" ht="18"/>
    <row r="196" s="1" customFormat="1" ht="18"/>
    <row r="197" s="1" customFormat="1" ht="18"/>
    <row r="198" s="1" customFormat="1" ht="18"/>
    <row r="199" s="1" customFormat="1" ht="18"/>
    <row r="200" s="1" customFormat="1" ht="18"/>
    <row r="201" s="1" customFormat="1" ht="18"/>
    <row r="202" s="1" customFormat="1" ht="18"/>
    <row r="203" s="1" customFormat="1" ht="18"/>
    <row r="204" s="1" customFormat="1" ht="18"/>
    <row r="205" s="1" customFormat="1" ht="18"/>
    <row r="206" s="1" customFormat="1" ht="18"/>
    <row r="207" s="1" customFormat="1" ht="18"/>
    <row r="208" s="1" customFormat="1" ht="18"/>
    <row r="209" s="1" customFormat="1" ht="18"/>
    <row r="210" s="1" customFormat="1" ht="18"/>
    <row r="211" s="1" customFormat="1" ht="18"/>
    <row r="212" s="1" customFormat="1" ht="18"/>
    <row r="213" s="1" customFormat="1" ht="18"/>
    <row r="214" s="1" customFormat="1" ht="18"/>
    <row r="215" s="1" customFormat="1" ht="18"/>
    <row r="216" s="1" customFormat="1" ht="18"/>
    <row r="217" s="1" customFormat="1" ht="18"/>
    <row r="218" s="1" customFormat="1" ht="18"/>
  </sheetData>
  <printOptions/>
  <pageMargins left="0.75" right="0.75" top="1" bottom="1" header="0.5" footer="0.5"/>
  <pageSetup fitToHeight="1" fitToWidth="1" horizontalDpi="300" verticalDpi="300" orientation="portrait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zoomScale="125" zoomScaleNormal="125"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  <col min="2" max="2" width="9.57421875" style="0" bestFit="1" customWidth="1"/>
    <col min="3" max="3" width="11.28125" style="0" customWidth="1"/>
    <col min="4" max="4" width="9.57421875" style="0" customWidth="1"/>
    <col min="5" max="12" width="11.7109375" style="0" customWidth="1"/>
    <col min="22" max="22" width="11.00390625" style="0" bestFit="1" customWidth="1"/>
  </cols>
  <sheetData>
    <row r="1" ht="30">
      <c r="F1" s="95" t="s">
        <v>108</v>
      </c>
    </row>
    <row r="2" ht="12.75">
      <c r="B2" s="110" t="s">
        <v>128</v>
      </c>
    </row>
    <row r="3" spans="1:28" ht="15.75">
      <c r="A3" s="87">
        <v>1</v>
      </c>
      <c r="B3" s="43" t="s">
        <v>116</v>
      </c>
      <c r="C3" s="43"/>
      <c r="D3" s="43"/>
      <c r="E3" s="43"/>
      <c r="F3" s="58">
        <v>0</v>
      </c>
      <c r="G3" s="43" t="s">
        <v>107</v>
      </c>
      <c r="H3" s="43"/>
      <c r="Q3" s="79"/>
      <c r="U3" s="104" t="s">
        <v>63</v>
      </c>
      <c r="V3" s="105">
        <f aca="true" t="shared" si="0" ref="V3:AB3">(V4-$U$4)/$U$4</f>
        <v>0.3333333333333333</v>
      </c>
      <c r="W3" s="105">
        <f t="shared" si="0"/>
        <v>0.6666666666666666</v>
      </c>
      <c r="X3" s="105">
        <f t="shared" si="0"/>
        <v>1</v>
      </c>
      <c r="Y3" s="105">
        <f t="shared" si="0"/>
        <v>1.3333333333333333</v>
      </c>
      <c r="Z3" s="105">
        <f t="shared" si="0"/>
        <v>1.6666666666666667</v>
      </c>
      <c r="AA3" s="105">
        <f t="shared" si="0"/>
        <v>2</v>
      </c>
      <c r="AB3" s="105">
        <f t="shared" si="0"/>
        <v>2.3333333333333335</v>
      </c>
    </row>
    <row r="4" spans="1:28" ht="15.75">
      <c r="A4" s="87">
        <v>90</v>
      </c>
      <c r="B4" s="43" t="s">
        <v>117</v>
      </c>
      <c r="C4" s="43"/>
      <c r="D4" s="43"/>
      <c r="E4" s="43"/>
      <c r="F4" s="58">
        <f>A4*0.09/365*100</f>
        <v>2.219178082191781</v>
      </c>
      <c r="G4" s="43" t="s">
        <v>113</v>
      </c>
      <c r="H4" s="43"/>
      <c r="J4" s="43"/>
      <c r="Q4" s="79"/>
      <c r="S4" s="102" t="s">
        <v>82</v>
      </c>
      <c r="U4" s="100">
        <f aca="true" t="shared" si="1" ref="U4:AB4">E19</f>
        <v>60</v>
      </c>
      <c r="V4" s="100">
        <f t="shared" si="1"/>
        <v>80</v>
      </c>
      <c r="W4" s="100">
        <f t="shared" si="1"/>
        <v>100</v>
      </c>
      <c r="X4" s="100">
        <f t="shared" si="1"/>
        <v>120</v>
      </c>
      <c r="Y4" s="100">
        <f t="shared" si="1"/>
        <v>140</v>
      </c>
      <c r="Z4" s="100">
        <f t="shared" si="1"/>
        <v>160</v>
      </c>
      <c r="AA4" s="100">
        <f t="shared" si="1"/>
        <v>180</v>
      </c>
      <c r="AB4" s="100">
        <f t="shared" si="1"/>
        <v>200</v>
      </c>
    </row>
    <row r="5" spans="1:28" ht="15.75">
      <c r="A5" s="58">
        <v>60</v>
      </c>
      <c r="B5" s="43" t="s">
        <v>82</v>
      </c>
      <c r="C5" s="43"/>
      <c r="D5" s="43"/>
      <c r="E5" s="43"/>
      <c r="F5" s="86">
        <v>0.005</v>
      </c>
      <c r="G5" s="43" t="s">
        <v>21</v>
      </c>
      <c r="H5" s="43"/>
      <c r="J5" s="43"/>
      <c r="Q5" s="79"/>
      <c r="S5" s="102" t="s">
        <v>89</v>
      </c>
      <c r="U5" s="88">
        <f aca="true" t="shared" si="2" ref="U5:AB5">($A$7*($F$6+$F$11)/2)*(1+$A$8)*(U4/2000)*$A$4</f>
        <v>55.388812499999986</v>
      </c>
      <c r="V5" s="88">
        <f t="shared" si="2"/>
        <v>73.85175</v>
      </c>
      <c r="W5" s="88">
        <f t="shared" si="2"/>
        <v>92.3146875</v>
      </c>
      <c r="X5" s="88">
        <f t="shared" si="2"/>
        <v>110.77762499999997</v>
      </c>
      <c r="Y5" s="88">
        <f t="shared" si="2"/>
        <v>129.24056249999998</v>
      </c>
      <c r="Z5" s="88">
        <f t="shared" si="2"/>
        <v>147.7035</v>
      </c>
      <c r="AA5" s="88">
        <f t="shared" si="2"/>
        <v>166.16643749999997</v>
      </c>
      <c r="AB5" s="88">
        <f t="shared" si="2"/>
        <v>184.629375</v>
      </c>
    </row>
    <row r="6" spans="1:28" ht="15.75">
      <c r="A6" s="58">
        <v>20</v>
      </c>
      <c r="B6" s="43" t="s">
        <v>83</v>
      </c>
      <c r="C6" s="43"/>
      <c r="D6" s="43"/>
      <c r="E6" s="43"/>
      <c r="F6" s="87">
        <v>550</v>
      </c>
      <c r="G6" s="43" t="s">
        <v>92</v>
      </c>
      <c r="J6" s="43"/>
      <c r="S6" s="102" t="s">
        <v>90</v>
      </c>
      <c r="U6" s="88">
        <f>A9+A10+A11+A12+A13+A14+F3+F4+(F5*F6*F9*0.01)</f>
        <v>27.29917808219178</v>
      </c>
      <c r="V6" s="88">
        <f aca="true" t="shared" si="3" ref="V6:AB6">$U$6</f>
        <v>27.29917808219178</v>
      </c>
      <c r="W6" s="88">
        <f t="shared" si="3"/>
        <v>27.29917808219178</v>
      </c>
      <c r="X6" s="88">
        <f t="shared" si="3"/>
        <v>27.29917808219178</v>
      </c>
      <c r="Y6" s="88">
        <f t="shared" si="3"/>
        <v>27.29917808219178</v>
      </c>
      <c r="Z6" s="88">
        <f t="shared" si="3"/>
        <v>27.29917808219178</v>
      </c>
      <c r="AA6" s="88">
        <f t="shared" si="3"/>
        <v>27.29917808219178</v>
      </c>
      <c r="AB6" s="88">
        <f t="shared" si="3"/>
        <v>27.29917808219178</v>
      </c>
    </row>
    <row r="7" spans="1:28" ht="15.75">
      <c r="A7" s="86">
        <v>0.03</v>
      </c>
      <c r="B7" s="43" t="s">
        <v>86</v>
      </c>
      <c r="C7" s="43"/>
      <c r="D7" s="43"/>
      <c r="E7" s="43"/>
      <c r="F7" s="89">
        <v>0.1</v>
      </c>
      <c r="G7" s="43" t="s">
        <v>94</v>
      </c>
      <c r="J7" s="43"/>
      <c r="S7" s="102" t="s">
        <v>91</v>
      </c>
      <c r="U7" s="88">
        <f aca="true" t="shared" si="4" ref="U7:AB7">U5+U6</f>
        <v>82.68799058219176</v>
      </c>
      <c r="V7" s="88">
        <f t="shared" si="4"/>
        <v>101.15092808219177</v>
      </c>
      <c r="W7" s="88">
        <f t="shared" si="4"/>
        <v>119.61386558219178</v>
      </c>
      <c r="X7" s="88">
        <f t="shared" si="4"/>
        <v>138.07680308219176</v>
      </c>
      <c r="Y7" s="88">
        <f t="shared" si="4"/>
        <v>156.53974058219177</v>
      </c>
      <c r="Z7" s="88">
        <f t="shared" si="4"/>
        <v>175.00267808219178</v>
      </c>
      <c r="AA7" s="88">
        <f t="shared" si="4"/>
        <v>193.46561558219176</v>
      </c>
      <c r="AB7" s="88">
        <f t="shared" si="4"/>
        <v>211.9285530821918</v>
      </c>
    </row>
    <row r="8" spans="1:28" ht="15.75">
      <c r="A8" s="86">
        <v>0.05</v>
      </c>
      <c r="B8" s="43" t="s">
        <v>123</v>
      </c>
      <c r="C8" s="43"/>
      <c r="D8" s="43"/>
      <c r="E8" s="43"/>
      <c r="F8" s="43">
        <f>F6*(1-F7)</f>
        <v>495</v>
      </c>
      <c r="G8" s="43" t="s">
        <v>93</v>
      </c>
      <c r="H8" s="43"/>
      <c r="J8" s="43"/>
      <c r="L8" s="60"/>
      <c r="M8" s="93"/>
      <c r="N8" s="60"/>
      <c r="S8" s="102" t="s">
        <v>118</v>
      </c>
      <c r="U8" s="104" t="s">
        <v>63</v>
      </c>
      <c r="V8" s="105">
        <f aca="true" t="shared" si="5" ref="V8:AB8">(V7-$U$7)/$U$7</f>
        <v>0.22328438954684565</v>
      </c>
      <c r="W8" s="105">
        <f t="shared" si="5"/>
        <v>0.4465687790936913</v>
      </c>
      <c r="X8" s="105">
        <f t="shared" si="5"/>
        <v>0.6698531686405366</v>
      </c>
      <c r="Y8" s="105">
        <f t="shared" si="5"/>
        <v>0.8931375581873823</v>
      </c>
      <c r="Z8" s="105">
        <f t="shared" si="5"/>
        <v>1.1164219477342279</v>
      </c>
      <c r="AA8" s="105">
        <f t="shared" si="5"/>
        <v>1.3397063372810731</v>
      </c>
      <c r="AB8" s="105">
        <f t="shared" si="5"/>
        <v>1.5629907268279193</v>
      </c>
    </row>
    <row r="9" spans="1:14" ht="15.75">
      <c r="A9" s="58">
        <f>E9*A4</f>
        <v>0</v>
      </c>
      <c r="B9" s="43" t="s">
        <v>127</v>
      </c>
      <c r="C9" s="43"/>
      <c r="D9" s="43"/>
      <c r="E9" s="109">
        <v>0</v>
      </c>
      <c r="F9" s="58">
        <v>112</v>
      </c>
      <c r="G9" s="43" t="s">
        <v>61</v>
      </c>
      <c r="H9" s="43"/>
      <c r="J9" s="43"/>
      <c r="L9" s="60"/>
      <c r="M9" s="60"/>
      <c r="N9" s="60"/>
    </row>
    <row r="10" spans="1:26" ht="15.75">
      <c r="A10" s="58">
        <v>12</v>
      </c>
      <c r="B10" s="43" t="s">
        <v>103</v>
      </c>
      <c r="C10" s="43"/>
      <c r="D10" s="43"/>
      <c r="E10" s="43"/>
      <c r="F10" s="91">
        <v>2.25</v>
      </c>
      <c r="G10" s="43" t="s">
        <v>23</v>
      </c>
      <c r="H10" s="43"/>
      <c r="J10" s="43"/>
      <c r="L10" s="92"/>
      <c r="M10" s="60"/>
      <c r="N10" s="60"/>
      <c r="S10" s="113">
        <f>F10</f>
        <v>2.25</v>
      </c>
      <c r="T10" s="102" t="s">
        <v>132</v>
      </c>
      <c r="Y10" s="79">
        <f>F6</f>
        <v>550</v>
      </c>
      <c r="Z10" s="79" t="s">
        <v>133</v>
      </c>
    </row>
    <row r="11" spans="1:14" ht="15.75">
      <c r="A11" s="58">
        <v>1.5</v>
      </c>
      <c r="B11" s="43" t="s">
        <v>104</v>
      </c>
      <c r="C11" s="43"/>
      <c r="D11" s="43"/>
      <c r="E11" s="44"/>
      <c r="F11" s="85">
        <f>A4*F10+F6</f>
        <v>752.5</v>
      </c>
      <c r="G11" s="43" t="s">
        <v>97</v>
      </c>
      <c r="H11" s="43"/>
      <c r="J11" s="43"/>
      <c r="L11" s="92"/>
      <c r="M11" s="60"/>
      <c r="N11" s="60"/>
    </row>
    <row r="12" spans="1:25" ht="16.5" customHeight="1">
      <c r="A12" s="58">
        <v>3</v>
      </c>
      <c r="B12" s="43" t="s">
        <v>105</v>
      </c>
      <c r="C12" s="43"/>
      <c r="D12" s="43"/>
      <c r="E12" s="44"/>
      <c r="F12" s="86">
        <v>0.05</v>
      </c>
      <c r="G12" s="43" t="s">
        <v>95</v>
      </c>
      <c r="H12" s="43"/>
      <c r="T12" s="60" t="s">
        <v>100</v>
      </c>
      <c r="U12" s="111">
        <f>F13</f>
        <v>714.875</v>
      </c>
      <c r="V12" s="111">
        <f>F11</f>
        <v>752.5</v>
      </c>
      <c r="W12" s="79" t="s">
        <v>122</v>
      </c>
      <c r="X12" s="60"/>
      <c r="Y12" s="60"/>
    </row>
    <row r="13" spans="1:25" ht="17.25" customHeight="1">
      <c r="A13" s="58">
        <v>1.5</v>
      </c>
      <c r="B13" s="43" t="s">
        <v>106</v>
      </c>
      <c r="C13" s="43"/>
      <c r="D13" s="43"/>
      <c r="E13" s="44"/>
      <c r="F13" s="85">
        <f>F11*(1-F12)</f>
        <v>714.875</v>
      </c>
      <c r="G13" s="43" t="s">
        <v>98</v>
      </c>
      <c r="H13" s="43"/>
      <c r="S13" s="60" t="s">
        <v>129</v>
      </c>
      <c r="U13" s="60" t="s">
        <v>121</v>
      </c>
      <c r="V13" s="60" t="s">
        <v>121</v>
      </c>
      <c r="W13" s="60"/>
      <c r="X13" s="60"/>
      <c r="Y13" s="60"/>
    </row>
    <row r="14" spans="1:22" ht="17.25" customHeight="1">
      <c r="A14" s="58">
        <v>4</v>
      </c>
      <c r="B14" s="43" t="s">
        <v>112</v>
      </c>
      <c r="C14" s="43"/>
      <c r="D14" s="43"/>
      <c r="E14" s="43"/>
      <c r="F14" s="58">
        <v>93</v>
      </c>
      <c r="G14" s="43" t="s">
        <v>62</v>
      </c>
      <c r="H14" s="43"/>
      <c r="S14" s="50">
        <f>F6</f>
        <v>550</v>
      </c>
      <c r="T14" s="60" t="s">
        <v>121</v>
      </c>
      <c r="U14" s="112">
        <f>(U12-S14)/$A$4</f>
        <v>1.8319444444444444</v>
      </c>
      <c r="V14" s="112">
        <f>(V12-S14)/$A$4</f>
        <v>2.25</v>
      </c>
    </row>
    <row r="15" spans="5:22" ht="17.25" customHeight="1">
      <c r="E15" s="43"/>
      <c r="F15" s="91"/>
      <c r="G15" s="43"/>
      <c r="P15" s="49"/>
      <c r="Q15" s="43"/>
      <c r="S15" s="50">
        <f>F8</f>
        <v>495</v>
      </c>
      <c r="T15" s="60" t="s">
        <v>121</v>
      </c>
      <c r="U15" s="112">
        <f>(U12-S15)/$A$4</f>
        <v>2.4430555555555555</v>
      </c>
      <c r="V15" s="112">
        <f>(V12-S15)/$A$4</f>
        <v>2.861111111111111</v>
      </c>
    </row>
    <row r="16" spans="6:19" ht="15.75">
      <c r="F16" s="50"/>
      <c r="S16" s="60" t="s">
        <v>131</v>
      </c>
    </row>
    <row r="17" spans="1:19" ht="12.75">
      <c r="A17" s="78" t="s">
        <v>84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S17" s="60" t="s">
        <v>130</v>
      </c>
    </row>
    <row r="18" spans="1:14" ht="12.75">
      <c r="A18" s="60" t="s">
        <v>80</v>
      </c>
      <c r="B18" s="60" t="s">
        <v>81</v>
      </c>
      <c r="C18" s="60" t="s">
        <v>77</v>
      </c>
      <c r="D18" s="60" t="s">
        <v>77</v>
      </c>
      <c r="E18" s="80" t="s">
        <v>85</v>
      </c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2.75">
      <c r="A19" s="83" t="s">
        <v>77</v>
      </c>
      <c r="B19" s="83" t="s">
        <v>77</v>
      </c>
      <c r="C19" s="83" t="s">
        <v>96</v>
      </c>
      <c r="D19" s="83" t="s">
        <v>134</v>
      </c>
      <c r="E19" s="82">
        <f>A5</f>
        <v>60</v>
      </c>
      <c r="F19" s="82">
        <f aca="true" t="shared" si="6" ref="F19:L19">E19+$A$6</f>
        <v>80</v>
      </c>
      <c r="G19" s="82">
        <f t="shared" si="6"/>
        <v>100</v>
      </c>
      <c r="H19" s="82">
        <f t="shared" si="6"/>
        <v>120</v>
      </c>
      <c r="I19" s="82">
        <f t="shared" si="6"/>
        <v>140</v>
      </c>
      <c r="J19" s="82">
        <f t="shared" si="6"/>
        <v>160</v>
      </c>
      <c r="K19" s="82">
        <f t="shared" si="6"/>
        <v>180</v>
      </c>
      <c r="L19" s="82">
        <f t="shared" si="6"/>
        <v>200</v>
      </c>
      <c r="M19" s="78"/>
      <c r="N19" s="78"/>
    </row>
    <row r="20" spans="1:14" ht="12.75">
      <c r="A20" s="84" t="s">
        <v>79</v>
      </c>
      <c r="B20" s="84" t="s">
        <v>79</v>
      </c>
      <c r="C20" s="84" t="s">
        <v>79</v>
      </c>
      <c r="D20" s="60" t="s">
        <v>79</v>
      </c>
      <c r="E20" s="80" t="s">
        <v>88</v>
      </c>
      <c r="F20" s="79"/>
      <c r="G20" s="79"/>
      <c r="H20" s="79"/>
      <c r="I20" s="79"/>
      <c r="J20" s="79"/>
      <c r="K20" s="79"/>
      <c r="L20" s="79"/>
      <c r="M20" s="79"/>
      <c r="N20" s="79"/>
    </row>
    <row r="21" spans="1:14" ht="15.75">
      <c r="A21" s="43"/>
      <c r="B21" s="43"/>
      <c r="C21" s="79"/>
      <c r="D21" s="79"/>
      <c r="E21" s="90"/>
      <c r="F21" s="79"/>
      <c r="G21" s="79"/>
      <c r="H21" s="79"/>
      <c r="I21" s="79"/>
      <c r="J21" s="79"/>
      <c r="K21" s="79"/>
      <c r="L21" s="79"/>
      <c r="M21" s="79"/>
      <c r="N21" s="79"/>
    </row>
    <row r="22" spans="1:17" ht="15.75">
      <c r="A22" s="44">
        <f aca="true" t="shared" si="7" ref="A22:A36">$F$9</f>
        <v>112</v>
      </c>
      <c r="B22" s="44">
        <f>$F$14</f>
        <v>93</v>
      </c>
      <c r="C22" s="44">
        <f aca="true" t="shared" si="8" ref="C22:C36">B22-A22</f>
        <v>-19</v>
      </c>
      <c r="D22" s="99"/>
      <c r="E22" s="94">
        <f aca="true" t="shared" si="9" ref="E22:L36">(($B22*$F$13*0.01)-($A22*$F$8*0.01)-$U$6-(($A$7*($F$6+$F$11)/2)*(1+$A$8)*(E$19/2000)*$A$4))*$A$3</f>
        <v>27.74575941780826</v>
      </c>
      <c r="F22" s="94">
        <f t="shared" si="9"/>
        <v>9.28282191780825</v>
      </c>
      <c r="G22" s="94">
        <f t="shared" si="9"/>
        <v>-9.18011558219176</v>
      </c>
      <c r="H22" s="94">
        <f t="shared" si="9"/>
        <v>-27.643053082191727</v>
      </c>
      <c r="I22" s="94">
        <f t="shared" si="9"/>
        <v>-46.10599058219174</v>
      </c>
      <c r="J22" s="94">
        <f t="shared" si="9"/>
        <v>-64.56892808219175</v>
      </c>
      <c r="K22" s="94">
        <f t="shared" si="9"/>
        <v>-83.03186558219173</v>
      </c>
      <c r="L22" s="94">
        <f t="shared" si="9"/>
        <v>-101.49480308219177</v>
      </c>
      <c r="M22" s="79"/>
      <c r="N22" s="79"/>
      <c r="O22" s="57"/>
      <c r="P22" s="57"/>
      <c r="Q22" s="57"/>
    </row>
    <row r="23" spans="1:14" ht="15.75">
      <c r="A23" s="44">
        <f t="shared" si="7"/>
        <v>112</v>
      </c>
      <c r="B23" s="44">
        <f aca="true" t="shared" si="10" ref="B23:B36">B22+1</f>
        <v>94</v>
      </c>
      <c r="C23" s="44">
        <f t="shared" si="8"/>
        <v>-18</v>
      </c>
      <c r="D23" s="116">
        <f aca="true" t="shared" si="11" ref="D23:D36">B23-$B$22</f>
        <v>1</v>
      </c>
      <c r="E23" s="94">
        <f t="shared" si="9"/>
        <v>34.89450941780821</v>
      </c>
      <c r="F23" s="94">
        <f t="shared" si="9"/>
        <v>16.4315719178082</v>
      </c>
      <c r="G23" s="94">
        <f t="shared" si="9"/>
        <v>-2.0313655821918104</v>
      </c>
      <c r="H23" s="94">
        <f t="shared" si="9"/>
        <v>-20.494303082191777</v>
      </c>
      <c r="I23" s="94">
        <f t="shared" si="9"/>
        <v>-38.95724058219179</v>
      </c>
      <c r="J23" s="94">
        <f t="shared" si="9"/>
        <v>-57.420178082191796</v>
      </c>
      <c r="K23" s="94">
        <f t="shared" si="9"/>
        <v>-75.88311558219178</v>
      </c>
      <c r="L23" s="94">
        <f t="shared" si="9"/>
        <v>-94.34605308219182</v>
      </c>
      <c r="M23" s="79"/>
      <c r="N23" s="79"/>
    </row>
    <row r="24" spans="1:14" ht="15.75">
      <c r="A24" s="44">
        <f t="shared" si="7"/>
        <v>112</v>
      </c>
      <c r="B24" s="44">
        <f t="shared" si="10"/>
        <v>95</v>
      </c>
      <c r="C24" s="44">
        <f t="shared" si="8"/>
        <v>-17</v>
      </c>
      <c r="D24" s="116">
        <f t="shared" si="11"/>
        <v>2</v>
      </c>
      <c r="E24" s="94">
        <f t="shared" si="9"/>
        <v>42.04325941780827</v>
      </c>
      <c r="F24" s="94">
        <f t="shared" si="9"/>
        <v>23.580321917808263</v>
      </c>
      <c r="G24" s="94">
        <f t="shared" si="9"/>
        <v>5.117384417808253</v>
      </c>
      <c r="H24" s="94">
        <f t="shared" si="9"/>
        <v>-13.345553082191714</v>
      </c>
      <c r="I24" s="94">
        <f t="shared" si="9"/>
        <v>-31.808490582191723</v>
      </c>
      <c r="J24" s="94">
        <f t="shared" si="9"/>
        <v>-50.27142808219173</v>
      </c>
      <c r="K24" s="94">
        <f t="shared" si="9"/>
        <v>-68.73436558219171</v>
      </c>
      <c r="L24" s="94">
        <f t="shared" si="9"/>
        <v>-87.19730308219175</v>
      </c>
      <c r="M24" s="79"/>
      <c r="N24" s="79"/>
    </row>
    <row r="25" spans="1:14" ht="15.75">
      <c r="A25" s="44">
        <f t="shared" si="7"/>
        <v>112</v>
      </c>
      <c r="B25" s="44">
        <f t="shared" si="10"/>
        <v>96</v>
      </c>
      <c r="C25" s="44">
        <f t="shared" si="8"/>
        <v>-16</v>
      </c>
      <c r="D25" s="116">
        <f t="shared" si="11"/>
        <v>3</v>
      </c>
      <c r="E25" s="94">
        <f t="shared" si="9"/>
        <v>49.19200941780822</v>
      </c>
      <c r="F25" s="94">
        <f t="shared" si="9"/>
        <v>30.729071917808213</v>
      </c>
      <c r="G25" s="94">
        <f t="shared" si="9"/>
        <v>12.266134417808203</v>
      </c>
      <c r="H25" s="94">
        <f t="shared" si="9"/>
        <v>-6.196803082191764</v>
      </c>
      <c r="I25" s="94">
        <f t="shared" si="9"/>
        <v>-24.659740582191773</v>
      </c>
      <c r="J25" s="94">
        <f t="shared" si="9"/>
        <v>-43.12267808219178</v>
      </c>
      <c r="K25" s="94">
        <f t="shared" si="9"/>
        <v>-61.585615582191764</v>
      </c>
      <c r="L25" s="94">
        <f t="shared" si="9"/>
        <v>-80.0485530821918</v>
      </c>
      <c r="M25" s="79"/>
      <c r="N25" s="79"/>
    </row>
    <row r="26" spans="1:14" ht="15.75">
      <c r="A26" s="44">
        <f t="shared" si="7"/>
        <v>112</v>
      </c>
      <c r="B26" s="44">
        <f t="shared" si="10"/>
        <v>97</v>
      </c>
      <c r="C26" s="44">
        <f t="shared" si="8"/>
        <v>-15</v>
      </c>
      <c r="D26" s="116">
        <f t="shared" si="11"/>
        <v>4</v>
      </c>
      <c r="E26" s="94">
        <f t="shared" si="9"/>
        <v>56.340759417808286</v>
      </c>
      <c r="F26" s="94">
        <f t="shared" si="9"/>
        <v>37.87782191780828</v>
      </c>
      <c r="G26" s="94">
        <f t="shared" si="9"/>
        <v>19.414884417808267</v>
      </c>
      <c r="H26" s="94">
        <f t="shared" si="9"/>
        <v>0.9519469178083</v>
      </c>
      <c r="I26" s="94">
        <f t="shared" si="9"/>
        <v>-17.51099058219171</v>
      </c>
      <c r="J26" s="94">
        <f t="shared" si="9"/>
        <v>-35.97392808219172</v>
      </c>
      <c r="K26" s="94">
        <f t="shared" si="9"/>
        <v>-54.4368655821917</v>
      </c>
      <c r="L26" s="94">
        <f t="shared" si="9"/>
        <v>-72.89980308219174</v>
      </c>
      <c r="M26" s="79"/>
      <c r="N26" s="79"/>
    </row>
    <row r="27" spans="1:14" ht="15.75">
      <c r="A27" s="44">
        <f t="shared" si="7"/>
        <v>112</v>
      </c>
      <c r="B27" s="44">
        <f t="shared" si="10"/>
        <v>98</v>
      </c>
      <c r="C27" s="44">
        <f t="shared" si="8"/>
        <v>-14</v>
      </c>
      <c r="D27" s="116">
        <f t="shared" si="11"/>
        <v>5</v>
      </c>
      <c r="E27" s="94">
        <f t="shared" si="9"/>
        <v>63.489509417808236</v>
      </c>
      <c r="F27" s="94">
        <f t="shared" si="9"/>
        <v>45.026571917808226</v>
      </c>
      <c r="G27" s="94">
        <f t="shared" si="9"/>
        <v>26.563634417808217</v>
      </c>
      <c r="H27" s="94">
        <f t="shared" si="9"/>
        <v>8.10069691780825</v>
      </c>
      <c r="I27" s="94">
        <f t="shared" si="9"/>
        <v>-10.36224058219176</v>
      </c>
      <c r="J27" s="94">
        <f t="shared" si="9"/>
        <v>-28.82517808219177</v>
      </c>
      <c r="K27" s="94">
        <f t="shared" si="9"/>
        <v>-47.28811558219175</v>
      </c>
      <c r="L27" s="94">
        <f t="shared" si="9"/>
        <v>-65.75105308219179</v>
      </c>
      <c r="M27" s="79"/>
      <c r="N27" s="79"/>
    </row>
    <row r="28" spans="1:14" ht="15.75">
      <c r="A28" s="44">
        <f t="shared" si="7"/>
        <v>112</v>
      </c>
      <c r="B28" s="44">
        <f t="shared" si="10"/>
        <v>99</v>
      </c>
      <c r="C28" s="44">
        <f t="shared" si="8"/>
        <v>-13</v>
      </c>
      <c r="D28" s="116">
        <f t="shared" si="11"/>
        <v>6</v>
      </c>
      <c r="E28" s="94">
        <f t="shared" si="9"/>
        <v>70.6382594178083</v>
      </c>
      <c r="F28" s="94">
        <f t="shared" si="9"/>
        <v>52.17532191780829</v>
      </c>
      <c r="G28" s="94">
        <f t="shared" si="9"/>
        <v>33.71238441780828</v>
      </c>
      <c r="H28" s="94">
        <f t="shared" si="9"/>
        <v>15.249446917808314</v>
      </c>
      <c r="I28" s="94">
        <f t="shared" si="9"/>
        <v>-3.213490582191696</v>
      </c>
      <c r="J28" s="94">
        <f t="shared" si="9"/>
        <v>-21.676428082191705</v>
      </c>
      <c r="K28" s="94">
        <f t="shared" si="9"/>
        <v>-40.13936558219169</v>
      </c>
      <c r="L28" s="94">
        <f t="shared" si="9"/>
        <v>-58.602303082191725</v>
      </c>
      <c r="M28" s="79"/>
      <c r="N28" s="79"/>
    </row>
    <row r="29" spans="1:14" ht="15.75">
      <c r="A29" s="44">
        <f t="shared" si="7"/>
        <v>112</v>
      </c>
      <c r="B29" s="44">
        <f t="shared" si="10"/>
        <v>100</v>
      </c>
      <c r="C29" s="44">
        <f t="shared" si="8"/>
        <v>-12</v>
      </c>
      <c r="D29" s="116">
        <f t="shared" si="11"/>
        <v>7</v>
      </c>
      <c r="E29" s="94">
        <f t="shared" si="9"/>
        <v>77.78700941780825</v>
      </c>
      <c r="F29" s="94">
        <f t="shared" si="9"/>
        <v>59.32407191780824</v>
      </c>
      <c r="G29" s="94">
        <f t="shared" si="9"/>
        <v>40.86113441780823</v>
      </c>
      <c r="H29" s="94">
        <f t="shared" si="9"/>
        <v>22.398196917808264</v>
      </c>
      <c r="I29" s="94">
        <f t="shared" si="9"/>
        <v>3.935259417808254</v>
      </c>
      <c r="J29" s="94">
        <f t="shared" si="9"/>
        <v>-14.527678082191755</v>
      </c>
      <c r="K29" s="94">
        <f t="shared" si="9"/>
        <v>-32.99061558219174</v>
      </c>
      <c r="L29" s="94">
        <f t="shared" si="9"/>
        <v>-51.453553082191775</v>
      </c>
      <c r="M29" s="79"/>
      <c r="N29" s="79"/>
    </row>
    <row r="30" spans="1:14" ht="15.75">
      <c r="A30" s="44">
        <f t="shared" si="7"/>
        <v>112</v>
      </c>
      <c r="B30" s="44">
        <f t="shared" si="10"/>
        <v>101</v>
      </c>
      <c r="C30" s="44">
        <f t="shared" si="8"/>
        <v>-11</v>
      </c>
      <c r="D30" s="116">
        <f t="shared" si="11"/>
        <v>8</v>
      </c>
      <c r="E30" s="94">
        <f t="shared" si="9"/>
        <v>84.93575941780831</v>
      </c>
      <c r="F30" s="94">
        <f t="shared" si="9"/>
        <v>66.4728219178083</v>
      </c>
      <c r="G30" s="94">
        <f t="shared" si="9"/>
        <v>48.009884417808294</v>
      </c>
      <c r="H30" s="94">
        <f t="shared" si="9"/>
        <v>29.546946917808327</v>
      </c>
      <c r="I30" s="94">
        <f t="shared" si="9"/>
        <v>11.084009417808318</v>
      </c>
      <c r="J30" s="94">
        <f t="shared" si="9"/>
        <v>-7.378928082191692</v>
      </c>
      <c r="K30" s="94">
        <f t="shared" si="9"/>
        <v>-25.841865582191673</v>
      </c>
      <c r="L30" s="94">
        <f t="shared" si="9"/>
        <v>-44.30480308219171</v>
      </c>
      <c r="M30" s="79"/>
      <c r="N30" s="79"/>
    </row>
    <row r="31" spans="1:14" ht="15.75">
      <c r="A31" s="44">
        <f t="shared" si="7"/>
        <v>112</v>
      </c>
      <c r="B31" s="44">
        <f t="shared" si="10"/>
        <v>102</v>
      </c>
      <c r="C31" s="44">
        <f t="shared" si="8"/>
        <v>-10</v>
      </c>
      <c r="D31" s="116">
        <f t="shared" si="11"/>
        <v>9</v>
      </c>
      <c r="E31" s="94">
        <f t="shared" si="9"/>
        <v>92.08450941780826</v>
      </c>
      <c r="F31" s="94">
        <f t="shared" si="9"/>
        <v>73.62157191780825</v>
      </c>
      <c r="G31" s="94">
        <f t="shared" si="9"/>
        <v>55.158634417808244</v>
      </c>
      <c r="H31" s="94">
        <f t="shared" si="9"/>
        <v>36.69569691780828</v>
      </c>
      <c r="I31" s="94">
        <f t="shared" si="9"/>
        <v>18.232759417808268</v>
      </c>
      <c r="J31" s="94">
        <f t="shared" si="9"/>
        <v>-0.23017808219174185</v>
      </c>
      <c r="K31" s="94">
        <f t="shared" si="9"/>
        <v>-18.693115582191723</v>
      </c>
      <c r="L31" s="94">
        <f t="shared" si="9"/>
        <v>-37.15605308219176</v>
      </c>
      <c r="M31" s="79"/>
      <c r="N31" s="79"/>
    </row>
    <row r="32" spans="1:14" ht="15.75">
      <c r="A32" s="44">
        <f t="shared" si="7"/>
        <v>112</v>
      </c>
      <c r="B32" s="44">
        <f t="shared" si="10"/>
        <v>103</v>
      </c>
      <c r="C32" s="44">
        <f t="shared" si="8"/>
        <v>-9</v>
      </c>
      <c r="D32" s="116">
        <f t="shared" si="11"/>
        <v>10</v>
      </c>
      <c r="E32" s="94">
        <f t="shared" si="9"/>
        <v>99.23325941780821</v>
      </c>
      <c r="F32" s="94">
        <f t="shared" si="9"/>
        <v>80.7703219178082</v>
      </c>
      <c r="G32" s="94">
        <f t="shared" si="9"/>
        <v>62.307384417808194</v>
      </c>
      <c r="H32" s="94">
        <f t="shared" si="9"/>
        <v>43.84444691780823</v>
      </c>
      <c r="I32" s="94">
        <f t="shared" si="9"/>
        <v>25.381509417808218</v>
      </c>
      <c r="J32" s="94">
        <f t="shared" si="9"/>
        <v>6.918571917808208</v>
      </c>
      <c r="K32" s="94">
        <f t="shared" si="9"/>
        <v>-11.544365582191773</v>
      </c>
      <c r="L32" s="94">
        <f t="shared" si="9"/>
        <v>-30.00730308219181</v>
      </c>
      <c r="M32" s="79"/>
      <c r="N32" s="79"/>
    </row>
    <row r="33" spans="1:14" ht="15.75">
      <c r="A33" s="44">
        <f t="shared" si="7"/>
        <v>112</v>
      </c>
      <c r="B33" s="44">
        <f t="shared" si="10"/>
        <v>104</v>
      </c>
      <c r="C33" s="44">
        <f t="shared" si="8"/>
        <v>-8</v>
      </c>
      <c r="D33" s="116">
        <f t="shared" si="11"/>
        <v>11</v>
      </c>
      <c r="E33" s="94">
        <f t="shared" si="9"/>
        <v>106.38200941780828</v>
      </c>
      <c r="F33" s="94">
        <f t="shared" si="9"/>
        <v>87.91907191780827</v>
      </c>
      <c r="G33" s="94">
        <f t="shared" si="9"/>
        <v>69.45613441780826</v>
      </c>
      <c r="H33" s="94">
        <f t="shared" si="9"/>
        <v>50.99319691780829</v>
      </c>
      <c r="I33" s="94">
        <f t="shared" si="9"/>
        <v>32.53025941780828</v>
      </c>
      <c r="J33" s="94">
        <f t="shared" si="9"/>
        <v>14.067321917808272</v>
      </c>
      <c r="K33" s="94">
        <f t="shared" si="9"/>
        <v>-4.395615582191709</v>
      </c>
      <c r="L33" s="94">
        <f t="shared" si="9"/>
        <v>-22.858553082191747</v>
      </c>
      <c r="M33" s="79"/>
      <c r="N33" s="79"/>
    </row>
    <row r="34" spans="1:14" ht="15.75">
      <c r="A34" s="44">
        <f t="shared" si="7"/>
        <v>112</v>
      </c>
      <c r="B34" s="44">
        <f t="shared" si="10"/>
        <v>105</v>
      </c>
      <c r="C34" s="44">
        <f t="shared" si="8"/>
        <v>-7</v>
      </c>
      <c r="D34" s="116">
        <f t="shared" si="11"/>
        <v>12</v>
      </c>
      <c r="E34" s="94">
        <f t="shared" si="9"/>
        <v>113.53075941780823</v>
      </c>
      <c r="F34" s="94">
        <f t="shared" si="9"/>
        <v>95.06782191780822</v>
      </c>
      <c r="G34" s="94">
        <f t="shared" si="9"/>
        <v>76.60488441780821</v>
      </c>
      <c r="H34" s="94">
        <f t="shared" si="9"/>
        <v>58.14194691780824</v>
      </c>
      <c r="I34" s="94">
        <f t="shared" si="9"/>
        <v>39.67900941780823</v>
      </c>
      <c r="J34" s="94">
        <f t="shared" si="9"/>
        <v>21.21607191780822</v>
      </c>
      <c r="K34" s="94">
        <f t="shared" si="9"/>
        <v>2.7531344178082406</v>
      </c>
      <c r="L34" s="94">
        <f t="shared" si="9"/>
        <v>-15.709803082191797</v>
      </c>
      <c r="M34" s="79"/>
      <c r="N34" s="79"/>
    </row>
    <row r="35" spans="1:14" ht="15.75">
      <c r="A35" s="44">
        <f t="shared" si="7"/>
        <v>112</v>
      </c>
      <c r="B35" s="44">
        <f t="shared" si="10"/>
        <v>106</v>
      </c>
      <c r="C35" s="44">
        <f t="shared" si="8"/>
        <v>-6</v>
      </c>
      <c r="D35" s="116">
        <f t="shared" si="11"/>
        <v>13</v>
      </c>
      <c r="E35" s="94">
        <f t="shared" si="9"/>
        <v>120.67950941780829</v>
      </c>
      <c r="F35" s="94">
        <f t="shared" si="9"/>
        <v>102.21657191780828</v>
      </c>
      <c r="G35" s="94">
        <f t="shared" si="9"/>
        <v>83.75363441780827</v>
      </c>
      <c r="H35" s="94">
        <f t="shared" si="9"/>
        <v>65.2906969178083</v>
      </c>
      <c r="I35" s="94">
        <f t="shared" si="9"/>
        <v>46.827759417808295</v>
      </c>
      <c r="J35" s="94">
        <f t="shared" si="9"/>
        <v>28.364821917808285</v>
      </c>
      <c r="K35" s="94">
        <f t="shared" si="9"/>
        <v>9.901884417808304</v>
      </c>
      <c r="L35" s="94">
        <f t="shared" si="9"/>
        <v>-8.561053082191734</v>
      </c>
      <c r="M35" s="79"/>
      <c r="N35" s="79"/>
    </row>
    <row r="36" spans="1:14" ht="15.75">
      <c r="A36" s="44">
        <f t="shared" si="7"/>
        <v>112</v>
      </c>
      <c r="B36" s="44">
        <f t="shared" si="10"/>
        <v>107</v>
      </c>
      <c r="C36" s="44">
        <f t="shared" si="8"/>
        <v>-5</v>
      </c>
      <c r="D36" s="116">
        <f t="shared" si="11"/>
        <v>14</v>
      </c>
      <c r="E36" s="94">
        <f t="shared" si="9"/>
        <v>127.82825941780824</v>
      </c>
      <c r="F36" s="94">
        <f t="shared" si="9"/>
        <v>109.36532191780823</v>
      </c>
      <c r="G36" s="94">
        <f t="shared" si="9"/>
        <v>90.90238441780822</v>
      </c>
      <c r="H36" s="94">
        <f t="shared" si="9"/>
        <v>72.43944691780825</v>
      </c>
      <c r="I36" s="94">
        <f t="shared" si="9"/>
        <v>53.976509417808245</v>
      </c>
      <c r="J36" s="94">
        <f t="shared" si="9"/>
        <v>35.513571917808235</v>
      </c>
      <c r="K36" s="94">
        <f t="shared" si="9"/>
        <v>17.050634417808254</v>
      </c>
      <c r="L36" s="94">
        <f t="shared" si="9"/>
        <v>-1.4123030821917837</v>
      </c>
      <c r="M36" s="79"/>
      <c r="N36" s="79"/>
    </row>
    <row r="37" spans="1:14" ht="15.75">
      <c r="A37" s="96"/>
      <c r="B37" s="97"/>
      <c r="C37" s="97"/>
      <c r="D37" s="97"/>
      <c r="E37" s="97"/>
      <c r="F37" s="78"/>
      <c r="G37" s="78"/>
      <c r="H37" s="78"/>
      <c r="I37" s="78"/>
      <c r="J37" s="78"/>
      <c r="K37" s="78"/>
      <c r="L37" s="78"/>
      <c r="M37" s="79"/>
      <c r="N37" s="79"/>
    </row>
    <row r="38" spans="1:14" ht="15.75">
      <c r="A38" s="44" t="s">
        <v>285</v>
      </c>
      <c r="B38" s="43"/>
      <c r="C38" s="43"/>
      <c r="D38" s="43"/>
      <c r="E38" s="43"/>
      <c r="F38" s="79"/>
      <c r="G38" s="79"/>
      <c r="H38" s="79"/>
      <c r="I38" s="79"/>
      <c r="J38" s="79"/>
      <c r="K38" s="79"/>
      <c r="L38" s="79"/>
      <c r="M38" s="79"/>
      <c r="N38" s="79"/>
    </row>
    <row r="40" spans="1:13" ht="12.75">
      <c r="A40" s="78" t="s">
        <v>115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26"/>
    </row>
    <row r="41" spans="1:21" s="1" customFormat="1" ht="18">
      <c r="A41" s="60" t="str">
        <f aca="true" t="shared" si="12" ref="A41:C43">A18</f>
        <v>Stocker</v>
      </c>
      <c r="B41" s="60" t="str">
        <f t="shared" si="12"/>
        <v>Feeder</v>
      </c>
      <c r="C41" s="60" t="str">
        <f t="shared" si="12"/>
        <v>Price</v>
      </c>
      <c r="D41" s="60" t="s">
        <v>109</v>
      </c>
      <c r="E41" s="79" t="str">
        <f>E18</f>
        <v> ------------------------ Feed Cost Per Ton -----------------------------------</v>
      </c>
      <c r="F41" s="79"/>
      <c r="G41" s="79"/>
      <c r="H41" s="79"/>
      <c r="I41" s="79"/>
      <c r="J41" s="79"/>
      <c r="K41" s="79"/>
      <c r="L41" s="79"/>
      <c r="M41"/>
      <c r="N41"/>
      <c r="O41"/>
      <c r="P41"/>
      <c r="Q41"/>
      <c r="R41"/>
      <c r="S41"/>
      <c r="T41"/>
      <c r="U41"/>
    </row>
    <row r="42" spans="1:21" s="1" customFormat="1" ht="18">
      <c r="A42" s="83" t="str">
        <f t="shared" si="12"/>
        <v>Price</v>
      </c>
      <c r="B42" s="83" t="str">
        <f t="shared" si="12"/>
        <v>Price</v>
      </c>
      <c r="C42" s="83" t="str">
        <f t="shared" si="12"/>
        <v>Margin</v>
      </c>
      <c r="D42" s="83" t="s">
        <v>110</v>
      </c>
      <c r="E42" s="82">
        <f>E19</f>
        <v>60</v>
      </c>
      <c r="F42" s="82">
        <f aca="true" t="shared" si="13" ref="F42:L42">F19</f>
        <v>80</v>
      </c>
      <c r="G42" s="82">
        <f t="shared" si="13"/>
        <v>100</v>
      </c>
      <c r="H42" s="82">
        <f t="shared" si="13"/>
        <v>120</v>
      </c>
      <c r="I42" s="82">
        <f t="shared" si="13"/>
        <v>140</v>
      </c>
      <c r="J42" s="82">
        <f t="shared" si="13"/>
        <v>160</v>
      </c>
      <c r="K42" s="82">
        <f t="shared" si="13"/>
        <v>180</v>
      </c>
      <c r="L42" s="82">
        <f t="shared" si="13"/>
        <v>200</v>
      </c>
      <c r="M42" s="26"/>
      <c r="N42"/>
      <c r="O42"/>
      <c r="P42"/>
      <c r="Q42"/>
      <c r="R42"/>
      <c r="S42"/>
      <c r="T42"/>
      <c r="U42"/>
    </row>
    <row r="43" spans="1:21" s="1" customFormat="1" ht="18">
      <c r="A43" s="115" t="str">
        <f t="shared" si="12"/>
        <v>$/Cwt</v>
      </c>
      <c r="B43" s="115" t="str">
        <f t="shared" si="12"/>
        <v>$/Cwt</v>
      </c>
      <c r="C43" s="115" t="str">
        <f t="shared" si="12"/>
        <v>$/Cwt</v>
      </c>
      <c r="D43" s="115" t="str">
        <f>D20</f>
        <v>$/Cwt</v>
      </c>
      <c r="E43" s="119" t="s">
        <v>111</v>
      </c>
      <c r="F43" s="114"/>
      <c r="G43" s="114"/>
      <c r="H43" s="114"/>
      <c r="I43" s="114"/>
      <c r="J43" s="114"/>
      <c r="K43" s="114"/>
      <c r="L43" s="114"/>
      <c r="M43" s="73"/>
      <c r="N43"/>
      <c r="O43"/>
      <c r="P43"/>
      <c r="Q43"/>
      <c r="R43"/>
      <c r="S43"/>
      <c r="T43"/>
      <c r="U43"/>
    </row>
    <row r="44" spans="1:21" s="1" customFormat="1" ht="18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/>
      <c r="N44"/>
      <c r="O44"/>
      <c r="P44"/>
      <c r="Q44"/>
      <c r="R44"/>
      <c r="S44"/>
      <c r="T44"/>
      <c r="U44"/>
    </row>
    <row r="45" spans="1:21" s="1" customFormat="1" ht="18">
      <c r="A45" s="88">
        <f aca="true" t="shared" si="14" ref="A45:C59">A22</f>
        <v>112</v>
      </c>
      <c r="B45" s="88">
        <f t="shared" si="14"/>
        <v>93</v>
      </c>
      <c r="C45" s="88">
        <f t="shared" si="14"/>
        <v>-19</v>
      </c>
      <c r="D45" s="117">
        <f aca="true" t="shared" si="15" ref="D45:D59">($F$13*$B45-$F$8*$A45)/($F$13-$F$8)</f>
        <v>50.22569641841956</v>
      </c>
      <c r="E45" s="100">
        <f aca="true" t="shared" si="16" ref="E45:L59">($U$6+($A$7*($F$6+$F$11)/2)*(1+$A$8)*(E$19/2000)*$A$4)/(($F$13-$F$8)*0.01)</f>
        <v>37.606817774731894</v>
      </c>
      <c r="F45" s="100">
        <f t="shared" si="16"/>
        <v>46.00383312436237</v>
      </c>
      <c r="G45" s="100">
        <f t="shared" si="16"/>
        <v>54.40084847399285</v>
      </c>
      <c r="H45" s="100">
        <f t="shared" si="16"/>
        <v>62.79786382362332</v>
      </c>
      <c r="I45" s="100">
        <f t="shared" si="16"/>
        <v>71.1948791732538</v>
      </c>
      <c r="J45" s="100">
        <f t="shared" si="16"/>
        <v>79.59189452288426</v>
      </c>
      <c r="K45" s="100">
        <f t="shared" si="16"/>
        <v>87.98890987251472</v>
      </c>
      <c r="L45" s="100">
        <f t="shared" si="16"/>
        <v>96.38592522214522</v>
      </c>
      <c r="M45"/>
      <c r="N45"/>
      <c r="O45"/>
      <c r="P45"/>
      <c r="Q45"/>
      <c r="R45"/>
      <c r="S45"/>
      <c r="T45"/>
      <c r="U45"/>
    </row>
    <row r="46" spans="1:21" s="1" customFormat="1" ht="18">
      <c r="A46" s="88">
        <f t="shared" si="14"/>
        <v>112</v>
      </c>
      <c r="B46" s="88">
        <f t="shared" si="14"/>
        <v>94</v>
      </c>
      <c r="C46" s="88">
        <f t="shared" si="14"/>
        <v>-18</v>
      </c>
      <c r="D46" s="117">
        <f t="shared" si="15"/>
        <v>53.47697555429221</v>
      </c>
      <c r="E46" s="100">
        <f t="shared" si="16"/>
        <v>37.606817774731894</v>
      </c>
      <c r="F46" s="100">
        <f t="shared" si="16"/>
        <v>46.00383312436237</v>
      </c>
      <c r="G46" s="100">
        <f t="shared" si="16"/>
        <v>54.40084847399285</v>
      </c>
      <c r="H46" s="100">
        <f t="shared" si="16"/>
        <v>62.79786382362332</v>
      </c>
      <c r="I46" s="100">
        <f t="shared" si="16"/>
        <v>71.1948791732538</v>
      </c>
      <c r="J46" s="100">
        <f t="shared" si="16"/>
        <v>79.59189452288426</v>
      </c>
      <c r="K46" s="100">
        <f t="shared" si="16"/>
        <v>87.98890987251472</v>
      </c>
      <c r="L46" s="100">
        <f t="shared" si="16"/>
        <v>96.38592522214522</v>
      </c>
      <c r="M46"/>
      <c r="N46"/>
      <c r="O46"/>
      <c r="P46"/>
      <c r="Q46"/>
      <c r="R46"/>
      <c r="S46"/>
      <c r="T46"/>
      <c r="U46"/>
    </row>
    <row r="47" spans="1:21" s="1" customFormat="1" ht="18">
      <c r="A47" s="88">
        <f t="shared" si="14"/>
        <v>112</v>
      </c>
      <c r="B47" s="88">
        <f t="shared" si="14"/>
        <v>95</v>
      </c>
      <c r="C47" s="88">
        <f t="shared" si="14"/>
        <v>-17</v>
      </c>
      <c r="D47" s="117">
        <f t="shared" si="15"/>
        <v>56.72825469016487</v>
      </c>
      <c r="E47" s="100">
        <f t="shared" si="16"/>
        <v>37.606817774731894</v>
      </c>
      <c r="F47" s="100">
        <f t="shared" si="16"/>
        <v>46.00383312436237</v>
      </c>
      <c r="G47" s="100">
        <f t="shared" si="16"/>
        <v>54.40084847399285</v>
      </c>
      <c r="H47" s="100">
        <f t="shared" si="16"/>
        <v>62.79786382362332</v>
      </c>
      <c r="I47" s="100">
        <f t="shared" si="16"/>
        <v>71.1948791732538</v>
      </c>
      <c r="J47" s="100">
        <f t="shared" si="16"/>
        <v>79.59189452288426</v>
      </c>
      <c r="K47" s="100">
        <f t="shared" si="16"/>
        <v>87.98890987251472</v>
      </c>
      <c r="L47" s="100">
        <f t="shared" si="16"/>
        <v>96.38592522214522</v>
      </c>
      <c r="M47"/>
      <c r="N47"/>
      <c r="O47"/>
      <c r="P47"/>
      <c r="Q47"/>
      <c r="R47"/>
      <c r="S47"/>
      <c r="T47"/>
      <c r="U47"/>
    </row>
    <row r="48" spans="1:21" s="1" customFormat="1" ht="18">
      <c r="A48" s="88">
        <f t="shared" si="14"/>
        <v>112</v>
      </c>
      <c r="B48" s="88">
        <f t="shared" si="14"/>
        <v>96</v>
      </c>
      <c r="C48" s="88">
        <f t="shared" si="14"/>
        <v>-16</v>
      </c>
      <c r="D48" s="117">
        <f t="shared" si="15"/>
        <v>59.979533826037525</v>
      </c>
      <c r="E48" s="100">
        <f t="shared" si="16"/>
        <v>37.606817774731894</v>
      </c>
      <c r="F48" s="100">
        <f t="shared" si="16"/>
        <v>46.00383312436237</v>
      </c>
      <c r="G48" s="100">
        <f t="shared" si="16"/>
        <v>54.40084847399285</v>
      </c>
      <c r="H48" s="100">
        <f t="shared" si="16"/>
        <v>62.79786382362332</v>
      </c>
      <c r="I48" s="100">
        <f t="shared" si="16"/>
        <v>71.1948791732538</v>
      </c>
      <c r="J48" s="100">
        <f t="shared" si="16"/>
        <v>79.59189452288426</v>
      </c>
      <c r="K48" s="100">
        <f t="shared" si="16"/>
        <v>87.98890987251472</v>
      </c>
      <c r="L48" s="100">
        <f t="shared" si="16"/>
        <v>96.38592522214522</v>
      </c>
      <c r="M48"/>
      <c r="N48"/>
      <c r="O48"/>
      <c r="P48"/>
      <c r="Q48"/>
      <c r="R48"/>
      <c r="S48"/>
      <c r="T48"/>
      <c r="U48"/>
    </row>
    <row r="49" spans="1:21" s="1" customFormat="1" ht="18">
      <c r="A49" s="88">
        <f t="shared" si="14"/>
        <v>112</v>
      </c>
      <c r="B49" s="88">
        <f t="shared" si="14"/>
        <v>97</v>
      </c>
      <c r="C49" s="88">
        <f t="shared" si="14"/>
        <v>-15</v>
      </c>
      <c r="D49" s="117">
        <f t="shared" si="15"/>
        <v>63.230812961910175</v>
      </c>
      <c r="E49" s="100">
        <f t="shared" si="16"/>
        <v>37.606817774731894</v>
      </c>
      <c r="F49" s="100">
        <f t="shared" si="16"/>
        <v>46.00383312436237</v>
      </c>
      <c r="G49" s="100">
        <f t="shared" si="16"/>
        <v>54.40084847399285</v>
      </c>
      <c r="H49" s="100">
        <f t="shared" si="16"/>
        <v>62.79786382362332</v>
      </c>
      <c r="I49" s="100">
        <f t="shared" si="16"/>
        <v>71.1948791732538</v>
      </c>
      <c r="J49" s="100">
        <f t="shared" si="16"/>
        <v>79.59189452288426</v>
      </c>
      <c r="K49" s="100">
        <f t="shared" si="16"/>
        <v>87.98890987251472</v>
      </c>
      <c r="L49" s="100">
        <f t="shared" si="16"/>
        <v>96.38592522214522</v>
      </c>
      <c r="M49"/>
      <c r="N49"/>
      <c r="O49"/>
      <c r="P49"/>
      <c r="Q49"/>
      <c r="R49"/>
      <c r="S49"/>
      <c r="T49"/>
      <c r="U49"/>
    </row>
    <row r="50" spans="1:21" s="1" customFormat="1" ht="18">
      <c r="A50" s="88">
        <f t="shared" si="14"/>
        <v>112</v>
      </c>
      <c r="B50" s="88">
        <f t="shared" si="14"/>
        <v>98</v>
      </c>
      <c r="C50" s="88">
        <f t="shared" si="14"/>
        <v>-14</v>
      </c>
      <c r="D50" s="117">
        <f t="shared" si="15"/>
        <v>66.48209209778283</v>
      </c>
      <c r="E50" s="100">
        <f t="shared" si="16"/>
        <v>37.606817774731894</v>
      </c>
      <c r="F50" s="100">
        <f t="shared" si="16"/>
        <v>46.00383312436237</v>
      </c>
      <c r="G50" s="100">
        <f t="shared" si="16"/>
        <v>54.40084847399285</v>
      </c>
      <c r="H50" s="100">
        <f t="shared" si="16"/>
        <v>62.79786382362332</v>
      </c>
      <c r="I50" s="100">
        <f t="shared" si="16"/>
        <v>71.1948791732538</v>
      </c>
      <c r="J50" s="100">
        <f t="shared" si="16"/>
        <v>79.59189452288426</v>
      </c>
      <c r="K50" s="100">
        <f t="shared" si="16"/>
        <v>87.98890987251472</v>
      </c>
      <c r="L50" s="100">
        <f t="shared" si="16"/>
        <v>96.38592522214522</v>
      </c>
      <c r="M50"/>
      <c r="N50"/>
      <c r="O50"/>
      <c r="P50"/>
      <c r="Q50"/>
      <c r="R50"/>
      <c r="S50"/>
      <c r="T50"/>
      <c r="U50"/>
    </row>
    <row r="51" spans="1:21" s="1" customFormat="1" ht="18">
      <c r="A51" s="88">
        <f t="shared" si="14"/>
        <v>112</v>
      </c>
      <c r="B51" s="88">
        <f t="shared" si="14"/>
        <v>99</v>
      </c>
      <c r="C51" s="88">
        <f t="shared" si="14"/>
        <v>-13</v>
      </c>
      <c r="D51" s="117">
        <f t="shared" si="15"/>
        <v>69.73337123365549</v>
      </c>
      <c r="E51" s="100">
        <f t="shared" si="16"/>
        <v>37.606817774731894</v>
      </c>
      <c r="F51" s="100">
        <f t="shared" si="16"/>
        <v>46.00383312436237</v>
      </c>
      <c r="G51" s="100">
        <f t="shared" si="16"/>
        <v>54.40084847399285</v>
      </c>
      <c r="H51" s="100">
        <f t="shared" si="16"/>
        <v>62.79786382362332</v>
      </c>
      <c r="I51" s="100">
        <f t="shared" si="16"/>
        <v>71.1948791732538</v>
      </c>
      <c r="J51" s="100">
        <f t="shared" si="16"/>
        <v>79.59189452288426</v>
      </c>
      <c r="K51" s="100">
        <f t="shared" si="16"/>
        <v>87.98890987251472</v>
      </c>
      <c r="L51" s="100">
        <f t="shared" si="16"/>
        <v>96.38592522214522</v>
      </c>
      <c r="M51"/>
      <c r="N51"/>
      <c r="O51"/>
      <c r="P51"/>
      <c r="Q51"/>
      <c r="R51"/>
      <c r="S51"/>
      <c r="T51"/>
      <c r="U51"/>
    </row>
    <row r="52" spans="1:21" s="1" customFormat="1" ht="18">
      <c r="A52" s="88">
        <f t="shared" si="14"/>
        <v>112</v>
      </c>
      <c r="B52" s="88">
        <f t="shared" si="14"/>
        <v>100</v>
      </c>
      <c r="C52" s="88">
        <f t="shared" si="14"/>
        <v>-12</v>
      </c>
      <c r="D52" s="117">
        <f t="shared" si="15"/>
        <v>72.98465036952814</v>
      </c>
      <c r="E52" s="100">
        <f t="shared" si="16"/>
        <v>37.606817774731894</v>
      </c>
      <c r="F52" s="100">
        <f t="shared" si="16"/>
        <v>46.00383312436237</v>
      </c>
      <c r="G52" s="100">
        <f t="shared" si="16"/>
        <v>54.40084847399285</v>
      </c>
      <c r="H52" s="100">
        <f t="shared" si="16"/>
        <v>62.79786382362332</v>
      </c>
      <c r="I52" s="100">
        <f t="shared" si="16"/>
        <v>71.1948791732538</v>
      </c>
      <c r="J52" s="100">
        <f t="shared" si="16"/>
        <v>79.59189452288426</v>
      </c>
      <c r="K52" s="100">
        <f t="shared" si="16"/>
        <v>87.98890987251472</v>
      </c>
      <c r="L52" s="100">
        <f t="shared" si="16"/>
        <v>96.38592522214522</v>
      </c>
      <c r="M52"/>
      <c r="N52"/>
      <c r="O52"/>
      <c r="P52"/>
      <c r="Q52"/>
      <c r="R52"/>
      <c r="S52"/>
      <c r="T52"/>
      <c r="U52"/>
    </row>
    <row r="53" spans="1:21" s="1" customFormat="1" ht="18">
      <c r="A53" s="88">
        <f t="shared" si="14"/>
        <v>112</v>
      </c>
      <c r="B53" s="88">
        <f t="shared" si="14"/>
        <v>101</v>
      </c>
      <c r="C53" s="88">
        <f t="shared" si="14"/>
        <v>-11</v>
      </c>
      <c r="D53" s="117">
        <f t="shared" si="15"/>
        <v>76.23592950540079</v>
      </c>
      <c r="E53" s="100">
        <f t="shared" si="16"/>
        <v>37.606817774731894</v>
      </c>
      <c r="F53" s="100">
        <f t="shared" si="16"/>
        <v>46.00383312436237</v>
      </c>
      <c r="G53" s="100">
        <f t="shared" si="16"/>
        <v>54.40084847399285</v>
      </c>
      <c r="H53" s="100">
        <f t="shared" si="16"/>
        <v>62.79786382362332</v>
      </c>
      <c r="I53" s="100">
        <f t="shared" si="16"/>
        <v>71.1948791732538</v>
      </c>
      <c r="J53" s="100">
        <f t="shared" si="16"/>
        <v>79.59189452288426</v>
      </c>
      <c r="K53" s="100">
        <f t="shared" si="16"/>
        <v>87.98890987251472</v>
      </c>
      <c r="L53" s="100">
        <f t="shared" si="16"/>
        <v>96.38592522214522</v>
      </c>
      <c r="M53"/>
      <c r="N53"/>
      <c r="O53"/>
      <c r="P53"/>
      <c r="Q53"/>
      <c r="R53"/>
      <c r="S53"/>
      <c r="T53"/>
      <c r="U53"/>
    </row>
    <row r="54" spans="1:21" s="1" customFormat="1" ht="18">
      <c r="A54" s="88">
        <f t="shared" si="14"/>
        <v>112</v>
      </c>
      <c r="B54" s="88">
        <f t="shared" si="14"/>
        <v>102</v>
      </c>
      <c r="C54" s="88">
        <f t="shared" si="14"/>
        <v>-10</v>
      </c>
      <c r="D54" s="117">
        <f t="shared" si="15"/>
        <v>79.48720864127345</v>
      </c>
      <c r="E54" s="100">
        <f t="shared" si="16"/>
        <v>37.606817774731894</v>
      </c>
      <c r="F54" s="100">
        <f t="shared" si="16"/>
        <v>46.00383312436237</v>
      </c>
      <c r="G54" s="100">
        <f t="shared" si="16"/>
        <v>54.40084847399285</v>
      </c>
      <c r="H54" s="100">
        <f t="shared" si="16"/>
        <v>62.79786382362332</v>
      </c>
      <c r="I54" s="100">
        <f t="shared" si="16"/>
        <v>71.1948791732538</v>
      </c>
      <c r="J54" s="100">
        <f t="shared" si="16"/>
        <v>79.59189452288426</v>
      </c>
      <c r="K54" s="100">
        <f t="shared" si="16"/>
        <v>87.98890987251472</v>
      </c>
      <c r="L54" s="100">
        <f t="shared" si="16"/>
        <v>96.38592522214522</v>
      </c>
      <c r="M54"/>
      <c r="N54"/>
      <c r="O54"/>
      <c r="P54"/>
      <c r="Q54"/>
      <c r="R54"/>
      <c r="S54"/>
      <c r="T54"/>
      <c r="U54"/>
    </row>
    <row r="55" spans="1:21" s="1" customFormat="1" ht="18">
      <c r="A55" s="88">
        <f t="shared" si="14"/>
        <v>112</v>
      </c>
      <c r="B55" s="88">
        <f t="shared" si="14"/>
        <v>103</v>
      </c>
      <c r="C55" s="88">
        <f t="shared" si="14"/>
        <v>-9</v>
      </c>
      <c r="D55" s="117">
        <f t="shared" si="15"/>
        <v>82.7384877771461</v>
      </c>
      <c r="E55" s="100">
        <f t="shared" si="16"/>
        <v>37.606817774731894</v>
      </c>
      <c r="F55" s="100">
        <f t="shared" si="16"/>
        <v>46.00383312436237</v>
      </c>
      <c r="G55" s="100">
        <f t="shared" si="16"/>
        <v>54.40084847399285</v>
      </c>
      <c r="H55" s="100">
        <f t="shared" si="16"/>
        <v>62.79786382362332</v>
      </c>
      <c r="I55" s="100">
        <f t="shared" si="16"/>
        <v>71.1948791732538</v>
      </c>
      <c r="J55" s="100">
        <f t="shared" si="16"/>
        <v>79.59189452288426</v>
      </c>
      <c r="K55" s="100">
        <f t="shared" si="16"/>
        <v>87.98890987251472</v>
      </c>
      <c r="L55" s="100">
        <f t="shared" si="16"/>
        <v>96.38592522214522</v>
      </c>
      <c r="M55"/>
      <c r="N55"/>
      <c r="O55"/>
      <c r="P55"/>
      <c r="Q55"/>
      <c r="R55"/>
      <c r="S55"/>
      <c r="T55"/>
      <c r="U55"/>
    </row>
    <row r="56" spans="1:21" s="1" customFormat="1" ht="18">
      <c r="A56" s="88">
        <f t="shared" si="14"/>
        <v>112</v>
      </c>
      <c r="B56" s="88">
        <f t="shared" si="14"/>
        <v>104</v>
      </c>
      <c r="C56" s="88">
        <f t="shared" si="14"/>
        <v>-8</v>
      </c>
      <c r="D56" s="117">
        <f t="shared" si="15"/>
        <v>85.98976691301876</v>
      </c>
      <c r="E56" s="100">
        <f t="shared" si="16"/>
        <v>37.606817774731894</v>
      </c>
      <c r="F56" s="100">
        <f t="shared" si="16"/>
        <v>46.00383312436237</v>
      </c>
      <c r="G56" s="100">
        <f t="shared" si="16"/>
        <v>54.40084847399285</v>
      </c>
      <c r="H56" s="100">
        <f t="shared" si="16"/>
        <v>62.79786382362332</v>
      </c>
      <c r="I56" s="100">
        <f t="shared" si="16"/>
        <v>71.1948791732538</v>
      </c>
      <c r="J56" s="100">
        <f t="shared" si="16"/>
        <v>79.59189452288426</v>
      </c>
      <c r="K56" s="100">
        <f t="shared" si="16"/>
        <v>87.98890987251472</v>
      </c>
      <c r="L56" s="100">
        <f t="shared" si="16"/>
        <v>96.38592522214522</v>
      </c>
      <c r="M56"/>
      <c r="N56"/>
      <c r="O56"/>
      <c r="P56"/>
      <c r="Q56"/>
      <c r="R56"/>
      <c r="S56"/>
      <c r="T56"/>
      <c r="U56"/>
    </row>
    <row r="57" spans="1:21" s="1" customFormat="1" ht="18">
      <c r="A57" s="88">
        <f t="shared" si="14"/>
        <v>112</v>
      </c>
      <c r="B57" s="88">
        <f t="shared" si="14"/>
        <v>105</v>
      </c>
      <c r="C57" s="88">
        <f t="shared" si="14"/>
        <v>-7</v>
      </c>
      <c r="D57" s="117">
        <f t="shared" si="15"/>
        <v>89.24104604889142</v>
      </c>
      <c r="E57" s="100">
        <f t="shared" si="16"/>
        <v>37.606817774731894</v>
      </c>
      <c r="F57" s="100">
        <f t="shared" si="16"/>
        <v>46.00383312436237</v>
      </c>
      <c r="G57" s="100">
        <f t="shared" si="16"/>
        <v>54.40084847399285</v>
      </c>
      <c r="H57" s="100">
        <f t="shared" si="16"/>
        <v>62.79786382362332</v>
      </c>
      <c r="I57" s="100">
        <f t="shared" si="16"/>
        <v>71.1948791732538</v>
      </c>
      <c r="J57" s="100">
        <f t="shared" si="16"/>
        <v>79.59189452288426</v>
      </c>
      <c r="K57" s="100">
        <f t="shared" si="16"/>
        <v>87.98890987251472</v>
      </c>
      <c r="L57" s="100">
        <f t="shared" si="16"/>
        <v>96.38592522214522</v>
      </c>
      <c r="M57"/>
      <c r="N57"/>
      <c r="O57"/>
      <c r="P57"/>
      <c r="Q57"/>
      <c r="R57"/>
      <c r="S57"/>
      <c r="T57"/>
      <c r="U57"/>
    </row>
    <row r="58" spans="1:21" s="1" customFormat="1" ht="18">
      <c r="A58" s="88">
        <f t="shared" si="14"/>
        <v>112</v>
      </c>
      <c r="B58" s="88">
        <f t="shared" si="14"/>
        <v>106</v>
      </c>
      <c r="C58" s="88">
        <f t="shared" si="14"/>
        <v>-6</v>
      </c>
      <c r="D58" s="117">
        <f t="shared" si="15"/>
        <v>92.49232518476407</v>
      </c>
      <c r="E58" s="100">
        <f t="shared" si="16"/>
        <v>37.606817774731894</v>
      </c>
      <c r="F58" s="100">
        <f t="shared" si="16"/>
        <v>46.00383312436237</v>
      </c>
      <c r="G58" s="100">
        <f t="shared" si="16"/>
        <v>54.40084847399285</v>
      </c>
      <c r="H58" s="100">
        <f t="shared" si="16"/>
        <v>62.79786382362332</v>
      </c>
      <c r="I58" s="100">
        <f t="shared" si="16"/>
        <v>71.1948791732538</v>
      </c>
      <c r="J58" s="100">
        <f t="shared" si="16"/>
        <v>79.59189452288426</v>
      </c>
      <c r="K58" s="100">
        <f t="shared" si="16"/>
        <v>87.98890987251472</v>
      </c>
      <c r="L58" s="100">
        <f t="shared" si="16"/>
        <v>96.38592522214522</v>
      </c>
      <c r="M58"/>
      <c r="N58"/>
      <c r="O58"/>
      <c r="P58"/>
      <c r="Q58"/>
      <c r="R58"/>
      <c r="S58"/>
      <c r="T58"/>
      <c r="U58"/>
    </row>
    <row r="59" spans="1:21" s="1" customFormat="1" ht="18">
      <c r="A59" s="88">
        <f t="shared" si="14"/>
        <v>112</v>
      </c>
      <c r="B59" s="88">
        <f t="shared" si="14"/>
        <v>107</v>
      </c>
      <c r="C59" s="88">
        <f t="shared" si="14"/>
        <v>-5</v>
      </c>
      <c r="D59" s="117">
        <f t="shared" si="15"/>
        <v>95.74360432063672</v>
      </c>
      <c r="E59" s="100">
        <f t="shared" si="16"/>
        <v>37.606817774731894</v>
      </c>
      <c r="F59" s="100">
        <f t="shared" si="16"/>
        <v>46.00383312436237</v>
      </c>
      <c r="G59" s="100">
        <f t="shared" si="16"/>
        <v>54.40084847399285</v>
      </c>
      <c r="H59" s="100">
        <f t="shared" si="16"/>
        <v>62.79786382362332</v>
      </c>
      <c r="I59" s="100">
        <f t="shared" si="16"/>
        <v>71.1948791732538</v>
      </c>
      <c r="J59" s="100">
        <f t="shared" si="16"/>
        <v>79.59189452288426</v>
      </c>
      <c r="K59" s="100">
        <f t="shared" si="16"/>
        <v>87.98890987251472</v>
      </c>
      <c r="L59" s="100">
        <f t="shared" si="16"/>
        <v>96.38592522214522</v>
      </c>
      <c r="M59"/>
      <c r="N59"/>
      <c r="O59"/>
      <c r="P59"/>
      <c r="Q59"/>
      <c r="R59"/>
      <c r="S59"/>
      <c r="T59"/>
      <c r="U59"/>
    </row>
    <row r="60" spans="1:13" s="1" customFormat="1" ht="18">
      <c r="A60" s="78"/>
      <c r="B60" s="25"/>
      <c r="C60" s="25"/>
      <c r="D60" s="118"/>
      <c r="E60" s="25"/>
      <c r="F60" s="25"/>
      <c r="G60" s="25"/>
      <c r="H60" s="25"/>
      <c r="I60" s="25"/>
      <c r="J60" s="25"/>
      <c r="K60" s="25"/>
      <c r="L60" s="25"/>
      <c r="M60" s="11"/>
    </row>
    <row r="61" spans="1:13" s="1" customFormat="1" ht="18">
      <c r="A61" s="114"/>
      <c r="B61" s="262"/>
      <c r="C61" s="262"/>
      <c r="D61" s="263"/>
      <c r="E61" s="262"/>
      <c r="F61" s="262"/>
      <c r="G61" s="262"/>
      <c r="H61" s="262"/>
      <c r="I61" s="262"/>
      <c r="J61" s="262"/>
      <c r="K61" s="262"/>
      <c r="L61" s="262"/>
      <c r="M61" s="264"/>
    </row>
    <row r="62" spans="1:12" s="1" customFormat="1" ht="18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1:13" s="1" customFormat="1" ht="18">
      <c r="A63" s="78" t="s">
        <v>135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11"/>
    </row>
    <row r="64" spans="1:12" s="1" customFormat="1" ht="18">
      <c r="A64" s="60" t="str">
        <f aca="true" t="shared" si="17" ref="A64:D66">A41</f>
        <v>Stocker</v>
      </c>
      <c r="B64" s="60" t="str">
        <f t="shared" si="17"/>
        <v>Feeder</v>
      </c>
      <c r="C64" s="60" t="str">
        <f t="shared" si="17"/>
        <v>Price</v>
      </c>
      <c r="D64" s="60" t="str">
        <f t="shared" si="17"/>
        <v>Value of</v>
      </c>
      <c r="E64" s="80" t="s">
        <v>114</v>
      </c>
      <c r="F64" s="79"/>
      <c r="G64" s="79"/>
      <c r="H64" s="79"/>
      <c r="I64" s="79"/>
      <c r="J64" s="79"/>
      <c r="K64" s="79"/>
      <c r="L64" s="79"/>
    </row>
    <row r="65" spans="1:13" s="1" customFormat="1" ht="18">
      <c r="A65" s="83" t="str">
        <f t="shared" si="17"/>
        <v>Price</v>
      </c>
      <c r="B65" s="83" t="str">
        <f t="shared" si="17"/>
        <v>Price</v>
      </c>
      <c r="C65" s="83" t="str">
        <f t="shared" si="17"/>
        <v>Margin</v>
      </c>
      <c r="D65" s="83" t="str">
        <f t="shared" si="17"/>
        <v>Gain</v>
      </c>
      <c r="E65" s="82">
        <f aca="true" t="shared" si="18" ref="E65:L65">E42</f>
        <v>60</v>
      </c>
      <c r="F65" s="82">
        <f t="shared" si="18"/>
        <v>80</v>
      </c>
      <c r="G65" s="82">
        <f t="shared" si="18"/>
        <v>100</v>
      </c>
      <c r="H65" s="82">
        <f t="shared" si="18"/>
        <v>120</v>
      </c>
      <c r="I65" s="82">
        <f t="shared" si="18"/>
        <v>140</v>
      </c>
      <c r="J65" s="82">
        <f t="shared" si="18"/>
        <v>160</v>
      </c>
      <c r="K65" s="82">
        <f t="shared" si="18"/>
        <v>180</v>
      </c>
      <c r="L65" s="82">
        <f t="shared" si="18"/>
        <v>200</v>
      </c>
      <c r="M65" s="11"/>
    </row>
    <row r="66" spans="1:12" s="1" customFormat="1" ht="18">
      <c r="A66" s="60" t="str">
        <f t="shared" si="17"/>
        <v>$/Cwt</v>
      </c>
      <c r="B66" s="60" t="str">
        <f t="shared" si="17"/>
        <v>$/Cwt</v>
      </c>
      <c r="C66" s="60" t="str">
        <f t="shared" si="17"/>
        <v>$/Cwt</v>
      </c>
      <c r="D66" s="60" t="str">
        <f t="shared" si="17"/>
        <v>$/Cwt</v>
      </c>
      <c r="E66" s="80" t="s">
        <v>136</v>
      </c>
      <c r="F66" s="79"/>
      <c r="G66" s="79"/>
      <c r="H66" s="79"/>
      <c r="I66" s="79"/>
      <c r="J66" s="79"/>
      <c r="K66" s="79"/>
      <c r="L66" s="79"/>
    </row>
    <row r="67" spans="1:12" s="1" customFormat="1" ht="18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 s="1" customFormat="1" ht="18">
      <c r="A68" s="88">
        <f aca="true" t="shared" si="19" ref="A68:D82">A45</f>
        <v>112</v>
      </c>
      <c r="B68" s="88">
        <f t="shared" si="19"/>
        <v>93</v>
      </c>
      <c r="C68" s="88">
        <f t="shared" si="19"/>
        <v>-19</v>
      </c>
      <c r="D68" s="88">
        <f t="shared" si="19"/>
        <v>50.22569641841956</v>
      </c>
      <c r="E68" s="101">
        <f aca="true" t="shared" si="20" ref="E68:L82">($D68-E45)*(($F$13-$F$8)*0.01)</f>
        <v>27.745759417808255</v>
      </c>
      <c r="F68" s="101">
        <f t="shared" si="20"/>
        <v>9.282821917808239</v>
      </c>
      <c r="G68" s="101">
        <f t="shared" si="20"/>
        <v>-9.180115582191776</v>
      </c>
      <c r="H68" s="101">
        <f t="shared" si="20"/>
        <v>-27.64305308219176</v>
      </c>
      <c r="I68" s="101">
        <f t="shared" si="20"/>
        <v>-46.10599058219178</v>
      </c>
      <c r="J68" s="101">
        <f t="shared" si="20"/>
        <v>-64.56892808219176</v>
      </c>
      <c r="K68" s="101">
        <f t="shared" si="20"/>
        <v>-83.03186558219174</v>
      </c>
      <c r="L68" s="101">
        <f t="shared" si="20"/>
        <v>-101.4948030821918</v>
      </c>
    </row>
    <row r="69" spans="1:12" s="1" customFormat="1" ht="18">
      <c r="A69" s="88">
        <f t="shared" si="19"/>
        <v>112</v>
      </c>
      <c r="B69" s="88">
        <f t="shared" si="19"/>
        <v>94</v>
      </c>
      <c r="C69" s="88">
        <f t="shared" si="19"/>
        <v>-18</v>
      </c>
      <c r="D69" s="88">
        <f t="shared" si="19"/>
        <v>53.47697555429221</v>
      </c>
      <c r="E69" s="101">
        <f t="shared" si="20"/>
        <v>34.894509417808244</v>
      </c>
      <c r="F69" s="101">
        <f t="shared" si="20"/>
        <v>16.431571917808228</v>
      </c>
      <c r="G69" s="101">
        <f t="shared" si="20"/>
        <v>-2.031365582191787</v>
      </c>
      <c r="H69" s="101">
        <f t="shared" si="20"/>
        <v>-20.49430308219177</v>
      </c>
      <c r="I69" s="101">
        <f t="shared" si="20"/>
        <v>-38.95724058219179</v>
      </c>
      <c r="J69" s="101">
        <f t="shared" si="20"/>
        <v>-57.42017808219177</v>
      </c>
      <c r="K69" s="101">
        <f t="shared" si="20"/>
        <v>-75.88311558219175</v>
      </c>
      <c r="L69" s="101">
        <f t="shared" si="20"/>
        <v>-94.3460530821918</v>
      </c>
    </row>
    <row r="70" spans="1:12" s="1" customFormat="1" ht="18">
      <c r="A70" s="88">
        <f t="shared" si="19"/>
        <v>112</v>
      </c>
      <c r="B70" s="88">
        <f t="shared" si="19"/>
        <v>95</v>
      </c>
      <c r="C70" s="88">
        <f t="shared" si="19"/>
        <v>-17</v>
      </c>
      <c r="D70" s="88">
        <f t="shared" si="19"/>
        <v>56.72825469016487</v>
      </c>
      <c r="E70" s="101">
        <f t="shared" si="20"/>
        <v>42.04325941780825</v>
      </c>
      <c r="F70" s="101">
        <f t="shared" si="20"/>
        <v>23.580321917808234</v>
      </c>
      <c r="G70" s="101">
        <f t="shared" si="20"/>
        <v>5.117384417808219</v>
      </c>
      <c r="H70" s="101">
        <f t="shared" si="20"/>
        <v>-13.345553082191765</v>
      </c>
      <c r="I70" s="101">
        <f t="shared" si="20"/>
        <v>-31.80849058219178</v>
      </c>
      <c r="J70" s="101">
        <f t="shared" si="20"/>
        <v>-50.27142808219177</v>
      </c>
      <c r="K70" s="101">
        <f t="shared" si="20"/>
        <v>-68.73436558219174</v>
      </c>
      <c r="L70" s="101">
        <f t="shared" si="20"/>
        <v>-87.1973030821918</v>
      </c>
    </row>
    <row r="71" spans="1:12" s="1" customFormat="1" ht="18">
      <c r="A71" s="88">
        <f t="shared" si="19"/>
        <v>112</v>
      </c>
      <c r="B71" s="88">
        <f t="shared" si="19"/>
        <v>96</v>
      </c>
      <c r="C71" s="88">
        <f t="shared" si="19"/>
        <v>-16</v>
      </c>
      <c r="D71" s="88">
        <f t="shared" si="19"/>
        <v>59.979533826037525</v>
      </c>
      <c r="E71" s="101">
        <f t="shared" si="20"/>
        <v>49.19200941780826</v>
      </c>
      <c r="F71" s="101">
        <f t="shared" si="20"/>
        <v>30.729071917808238</v>
      </c>
      <c r="G71" s="101">
        <f t="shared" si="20"/>
        <v>12.266134417808225</v>
      </c>
      <c r="H71" s="101">
        <f t="shared" si="20"/>
        <v>-6.19680308219176</v>
      </c>
      <c r="I71" s="101">
        <f t="shared" si="20"/>
        <v>-24.659740582191777</v>
      </c>
      <c r="J71" s="101">
        <f t="shared" si="20"/>
        <v>-43.12267808219176</v>
      </c>
      <c r="K71" s="101">
        <f t="shared" si="20"/>
        <v>-61.58561558219174</v>
      </c>
      <c r="L71" s="101">
        <f t="shared" si="20"/>
        <v>-80.04855308219179</v>
      </c>
    </row>
    <row r="72" spans="1:12" s="1" customFormat="1" ht="18">
      <c r="A72" s="88">
        <f t="shared" si="19"/>
        <v>112</v>
      </c>
      <c r="B72" s="88">
        <f t="shared" si="19"/>
        <v>97</v>
      </c>
      <c r="C72" s="88">
        <f t="shared" si="19"/>
        <v>-15</v>
      </c>
      <c r="D72" s="88">
        <f t="shared" si="19"/>
        <v>63.230812961910175</v>
      </c>
      <c r="E72" s="101">
        <f t="shared" si="20"/>
        <v>56.34075941780824</v>
      </c>
      <c r="F72" s="101">
        <f t="shared" si="20"/>
        <v>37.87782191780823</v>
      </c>
      <c r="G72" s="101">
        <f t="shared" si="20"/>
        <v>19.414884417808214</v>
      </c>
      <c r="H72" s="101">
        <f t="shared" si="20"/>
        <v>0.9519469178082295</v>
      </c>
      <c r="I72" s="101">
        <f t="shared" si="20"/>
        <v>-17.510990582191784</v>
      </c>
      <c r="J72" s="101">
        <f t="shared" si="20"/>
        <v>-35.97392808219177</v>
      </c>
      <c r="K72" s="101">
        <f t="shared" si="20"/>
        <v>-54.43686558219176</v>
      </c>
      <c r="L72" s="101">
        <f t="shared" si="20"/>
        <v>-72.8998030821918</v>
      </c>
    </row>
    <row r="73" spans="1:12" s="1" customFormat="1" ht="18">
      <c r="A73" s="88">
        <f t="shared" si="19"/>
        <v>112</v>
      </c>
      <c r="B73" s="88">
        <f t="shared" si="19"/>
        <v>98</v>
      </c>
      <c r="C73" s="88">
        <f t="shared" si="19"/>
        <v>-14</v>
      </c>
      <c r="D73" s="88">
        <f t="shared" si="19"/>
        <v>66.48209209778283</v>
      </c>
      <c r="E73" s="101">
        <f t="shared" si="20"/>
        <v>63.489509417808236</v>
      </c>
      <c r="F73" s="101">
        <f t="shared" si="20"/>
        <v>45.02657191780822</v>
      </c>
      <c r="G73" s="101">
        <f t="shared" si="20"/>
        <v>26.563634417808203</v>
      </c>
      <c r="H73" s="101">
        <f t="shared" si="20"/>
        <v>8.10069691780822</v>
      </c>
      <c r="I73" s="101">
        <f t="shared" si="20"/>
        <v>-10.362240582191797</v>
      </c>
      <c r="J73" s="101">
        <f t="shared" si="20"/>
        <v>-28.82517808219178</v>
      </c>
      <c r="K73" s="101">
        <f t="shared" si="20"/>
        <v>-47.288115582191764</v>
      </c>
      <c r="L73" s="101">
        <f t="shared" si="20"/>
        <v>-65.75105308219182</v>
      </c>
    </row>
    <row r="74" spans="1:12" s="1" customFormat="1" ht="18">
      <c r="A74" s="88">
        <f t="shared" si="19"/>
        <v>112</v>
      </c>
      <c r="B74" s="88">
        <f t="shared" si="19"/>
        <v>99</v>
      </c>
      <c r="C74" s="88">
        <f t="shared" si="19"/>
        <v>-13</v>
      </c>
      <c r="D74" s="88">
        <f t="shared" si="19"/>
        <v>69.73337123365549</v>
      </c>
      <c r="E74" s="101">
        <f t="shared" si="20"/>
        <v>70.63825941780826</v>
      </c>
      <c r="F74" s="101">
        <f t="shared" si="20"/>
        <v>52.17532191780824</v>
      </c>
      <c r="G74" s="101">
        <f t="shared" si="20"/>
        <v>33.712384417808224</v>
      </c>
      <c r="H74" s="101">
        <f t="shared" si="20"/>
        <v>15.24944691780824</v>
      </c>
      <c r="I74" s="101">
        <f t="shared" si="20"/>
        <v>-3.213490582191775</v>
      </c>
      <c r="J74" s="101">
        <f t="shared" si="20"/>
        <v>-21.67642808219176</v>
      </c>
      <c r="K74" s="101">
        <f t="shared" si="20"/>
        <v>-40.13936558219174</v>
      </c>
      <c r="L74" s="101">
        <f t="shared" si="20"/>
        <v>-58.60230308219179</v>
      </c>
    </row>
    <row r="75" spans="1:12" s="1" customFormat="1" ht="18">
      <c r="A75" s="88">
        <f t="shared" si="19"/>
        <v>112</v>
      </c>
      <c r="B75" s="88">
        <f t="shared" si="19"/>
        <v>100</v>
      </c>
      <c r="C75" s="88">
        <f t="shared" si="19"/>
        <v>-12</v>
      </c>
      <c r="D75" s="88">
        <f t="shared" si="19"/>
        <v>72.98465036952814</v>
      </c>
      <c r="E75" s="101">
        <f t="shared" si="20"/>
        <v>77.78700941780825</v>
      </c>
      <c r="F75" s="101">
        <f t="shared" si="20"/>
        <v>59.324071917808226</v>
      </c>
      <c r="G75" s="101">
        <f t="shared" si="20"/>
        <v>40.861134417808216</v>
      </c>
      <c r="H75" s="101">
        <f t="shared" si="20"/>
        <v>22.39819691780823</v>
      </c>
      <c r="I75" s="101">
        <f t="shared" si="20"/>
        <v>3.9352594178082145</v>
      </c>
      <c r="J75" s="101">
        <f t="shared" si="20"/>
        <v>-14.52767808219177</v>
      </c>
      <c r="K75" s="101">
        <f t="shared" si="20"/>
        <v>-32.99061558219175</v>
      </c>
      <c r="L75" s="101">
        <f t="shared" si="20"/>
        <v>-51.4535530821918</v>
      </c>
    </row>
    <row r="76" spans="1:12" s="1" customFormat="1" ht="18">
      <c r="A76" s="88">
        <f t="shared" si="19"/>
        <v>112</v>
      </c>
      <c r="B76" s="88">
        <f t="shared" si="19"/>
        <v>101</v>
      </c>
      <c r="C76" s="88">
        <f t="shared" si="19"/>
        <v>-11</v>
      </c>
      <c r="D76" s="88">
        <f t="shared" si="19"/>
        <v>76.23592950540079</v>
      </c>
      <c r="E76" s="101">
        <f t="shared" si="20"/>
        <v>84.93575941780823</v>
      </c>
      <c r="F76" s="101">
        <f t="shared" si="20"/>
        <v>66.47282191780822</v>
      </c>
      <c r="G76" s="101">
        <f t="shared" si="20"/>
        <v>48.0098844178082</v>
      </c>
      <c r="H76" s="101">
        <f t="shared" si="20"/>
        <v>29.54694691780822</v>
      </c>
      <c r="I76" s="101">
        <f t="shared" si="20"/>
        <v>11.084009417808204</v>
      </c>
      <c r="J76" s="101">
        <f t="shared" si="20"/>
        <v>-7.37892808219178</v>
      </c>
      <c r="K76" s="101">
        <f t="shared" si="20"/>
        <v>-25.841865582191765</v>
      </c>
      <c r="L76" s="101">
        <f t="shared" si="20"/>
        <v>-44.30480308219181</v>
      </c>
    </row>
    <row r="77" spans="1:12" s="1" customFormat="1" ht="18">
      <c r="A77" s="88">
        <f t="shared" si="19"/>
        <v>112</v>
      </c>
      <c r="B77" s="88">
        <f t="shared" si="19"/>
        <v>102</v>
      </c>
      <c r="C77" s="88">
        <f t="shared" si="19"/>
        <v>-10</v>
      </c>
      <c r="D77" s="88">
        <f t="shared" si="19"/>
        <v>79.48720864127345</v>
      </c>
      <c r="E77" s="101">
        <f t="shared" si="20"/>
        <v>92.08450941780825</v>
      </c>
      <c r="F77" s="101">
        <f t="shared" si="20"/>
        <v>73.62157191780824</v>
      </c>
      <c r="G77" s="101">
        <f t="shared" si="20"/>
        <v>55.15863441780822</v>
      </c>
      <c r="H77" s="101">
        <f t="shared" si="20"/>
        <v>36.69569691780824</v>
      </c>
      <c r="I77" s="101">
        <f t="shared" si="20"/>
        <v>18.232759417808225</v>
      </c>
      <c r="J77" s="101">
        <f t="shared" si="20"/>
        <v>-0.23017808219175884</v>
      </c>
      <c r="K77" s="101">
        <f t="shared" si="20"/>
        <v>-18.693115582191744</v>
      </c>
      <c r="L77" s="101">
        <f t="shared" si="20"/>
        <v>-37.15605308219179</v>
      </c>
    </row>
    <row r="78" spans="1:12" s="1" customFormat="1" ht="18">
      <c r="A78" s="88">
        <f t="shared" si="19"/>
        <v>112</v>
      </c>
      <c r="B78" s="88">
        <f t="shared" si="19"/>
        <v>103</v>
      </c>
      <c r="C78" s="88">
        <f t="shared" si="19"/>
        <v>-9</v>
      </c>
      <c r="D78" s="88">
        <f t="shared" si="19"/>
        <v>82.7384877771461</v>
      </c>
      <c r="E78" s="101">
        <f t="shared" si="20"/>
        <v>99.23325941780824</v>
      </c>
      <c r="F78" s="101">
        <f t="shared" si="20"/>
        <v>80.77032191780823</v>
      </c>
      <c r="G78" s="101">
        <f t="shared" si="20"/>
        <v>62.307384417808215</v>
      </c>
      <c r="H78" s="101">
        <f t="shared" si="20"/>
        <v>43.84444691780823</v>
      </c>
      <c r="I78" s="101">
        <f t="shared" si="20"/>
        <v>25.381509417808214</v>
      </c>
      <c r="J78" s="101">
        <f t="shared" si="20"/>
        <v>6.918571917808231</v>
      </c>
      <c r="K78" s="101">
        <f t="shared" si="20"/>
        <v>-11.544365582191753</v>
      </c>
      <c r="L78" s="101">
        <f t="shared" si="20"/>
        <v>-30.0073030821918</v>
      </c>
    </row>
    <row r="79" spans="1:12" s="1" customFormat="1" ht="18">
      <c r="A79" s="88">
        <f t="shared" si="19"/>
        <v>112</v>
      </c>
      <c r="B79" s="88">
        <f t="shared" si="19"/>
        <v>104</v>
      </c>
      <c r="C79" s="88">
        <f t="shared" si="19"/>
        <v>-8</v>
      </c>
      <c r="D79" s="88">
        <f t="shared" si="19"/>
        <v>85.98976691301876</v>
      </c>
      <c r="E79" s="101">
        <f t="shared" si="20"/>
        <v>106.38200941780823</v>
      </c>
      <c r="F79" s="101">
        <f t="shared" si="20"/>
        <v>87.91907191780822</v>
      </c>
      <c r="G79" s="101">
        <f t="shared" si="20"/>
        <v>69.4561344178082</v>
      </c>
      <c r="H79" s="101">
        <f t="shared" si="20"/>
        <v>50.99319691780822</v>
      </c>
      <c r="I79" s="101">
        <f t="shared" si="20"/>
        <v>32.5302594178082</v>
      </c>
      <c r="J79" s="101">
        <f t="shared" si="20"/>
        <v>14.06732191780822</v>
      </c>
      <c r="K79" s="101">
        <f t="shared" si="20"/>
        <v>-4.3956155821917635</v>
      </c>
      <c r="L79" s="101">
        <f t="shared" si="20"/>
        <v>-22.85855308219181</v>
      </c>
    </row>
    <row r="80" spans="1:12" s="1" customFormat="1" ht="18">
      <c r="A80" s="88">
        <f t="shared" si="19"/>
        <v>112</v>
      </c>
      <c r="B80" s="88">
        <f t="shared" si="19"/>
        <v>105</v>
      </c>
      <c r="C80" s="88">
        <f t="shared" si="19"/>
        <v>-7</v>
      </c>
      <c r="D80" s="88">
        <f t="shared" si="19"/>
        <v>89.24104604889142</v>
      </c>
      <c r="E80" s="101">
        <f t="shared" si="20"/>
        <v>113.53075941780826</v>
      </c>
      <c r="F80" s="101">
        <f t="shared" si="20"/>
        <v>95.06782191780825</v>
      </c>
      <c r="G80" s="101">
        <f t="shared" si="20"/>
        <v>76.60488441780822</v>
      </c>
      <c r="H80" s="101">
        <f t="shared" si="20"/>
        <v>58.14194691780824</v>
      </c>
      <c r="I80" s="101">
        <f t="shared" si="20"/>
        <v>39.679009417808224</v>
      </c>
      <c r="J80" s="101">
        <f t="shared" si="20"/>
        <v>21.216071917808243</v>
      </c>
      <c r="K80" s="101">
        <f t="shared" si="20"/>
        <v>2.7531344178082575</v>
      </c>
      <c r="L80" s="101">
        <f t="shared" si="20"/>
        <v>-15.709803082191788</v>
      </c>
    </row>
    <row r="81" spans="1:12" s="1" customFormat="1" ht="18">
      <c r="A81" s="88">
        <f t="shared" si="19"/>
        <v>112</v>
      </c>
      <c r="B81" s="88">
        <f t="shared" si="19"/>
        <v>106</v>
      </c>
      <c r="C81" s="88">
        <f t="shared" si="19"/>
        <v>-6</v>
      </c>
      <c r="D81" s="88">
        <f t="shared" si="19"/>
        <v>92.49232518476407</v>
      </c>
      <c r="E81" s="101">
        <f t="shared" si="20"/>
        <v>120.67950941780825</v>
      </c>
      <c r="F81" s="101">
        <f t="shared" si="20"/>
        <v>102.21657191780822</v>
      </c>
      <c r="G81" s="101">
        <f t="shared" si="20"/>
        <v>83.75363441780821</v>
      </c>
      <c r="H81" s="101">
        <f t="shared" si="20"/>
        <v>65.29069691780823</v>
      </c>
      <c r="I81" s="101">
        <f t="shared" si="20"/>
        <v>46.82775941780822</v>
      </c>
      <c r="J81" s="101">
        <f t="shared" si="20"/>
        <v>28.364821917808232</v>
      </c>
      <c r="K81" s="101">
        <f t="shared" si="20"/>
        <v>9.901884417808247</v>
      </c>
      <c r="L81" s="101">
        <f t="shared" si="20"/>
        <v>-8.5610530821918</v>
      </c>
    </row>
    <row r="82" spans="1:12" s="1" customFormat="1" ht="18">
      <c r="A82" s="88">
        <f t="shared" si="19"/>
        <v>112</v>
      </c>
      <c r="B82" s="88">
        <f t="shared" si="19"/>
        <v>107</v>
      </c>
      <c r="C82" s="88">
        <f t="shared" si="19"/>
        <v>-5</v>
      </c>
      <c r="D82" s="88">
        <f t="shared" si="19"/>
        <v>95.74360432063672</v>
      </c>
      <c r="E82" s="101">
        <f t="shared" si="20"/>
        <v>127.82825941780824</v>
      </c>
      <c r="F82" s="101">
        <f t="shared" si="20"/>
        <v>109.36532191780822</v>
      </c>
      <c r="G82" s="101">
        <f t="shared" si="20"/>
        <v>90.90238441780821</v>
      </c>
      <c r="H82" s="101">
        <f t="shared" si="20"/>
        <v>72.43944691780823</v>
      </c>
      <c r="I82" s="101">
        <f t="shared" si="20"/>
        <v>53.9765094178082</v>
      </c>
      <c r="J82" s="101">
        <f t="shared" si="20"/>
        <v>35.51357191780822</v>
      </c>
      <c r="K82" s="101">
        <f t="shared" si="20"/>
        <v>17.050634417808237</v>
      </c>
      <c r="L82" s="101">
        <f t="shared" si="20"/>
        <v>-1.4123030821918097</v>
      </c>
    </row>
    <row r="83" spans="1:13" s="1" customFormat="1" ht="18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11"/>
    </row>
    <row r="84" spans="1:12" s="1" customFormat="1" ht="18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1:12" s="1" customFormat="1" ht="18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1:12" s="1" customFormat="1" ht="18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1:12" s="1" customFormat="1" ht="18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1:12" s="1" customFormat="1" ht="18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1:12" s="1" customFormat="1" ht="18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1:12" s="1" customFormat="1" ht="18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1:12" s="1" customFormat="1" ht="18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1:12" s="1" customFormat="1" ht="18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="1" customFormat="1" ht="18"/>
    <row r="94" s="1" customFormat="1" ht="18"/>
    <row r="95" s="1" customFormat="1" ht="18"/>
    <row r="96" s="1" customFormat="1" ht="18"/>
    <row r="97" s="1" customFormat="1" ht="18"/>
    <row r="98" s="1" customFormat="1" ht="18"/>
    <row r="99" s="1" customFormat="1" ht="18"/>
    <row r="100" s="1" customFormat="1" ht="18"/>
    <row r="101" s="1" customFormat="1" ht="18"/>
    <row r="102" s="1" customFormat="1" ht="18"/>
    <row r="103" s="1" customFormat="1" ht="18"/>
    <row r="104" s="1" customFormat="1" ht="18"/>
    <row r="105" s="1" customFormat="1" ht="18"/>
    <row r="106" s="1" customFormat="1" ht="18"/>
    <row r="107" s="1" customFormat="1" ht="18"/>
    <row r="108" s="1" customFormat="1" ht="18"/>
    <row r="109" s="1" customFormat="1" ht="18"/>
    <row r="110" s="1" customFormat="1" ht="18"/>
    <row r="111" s="1" customFormat="1" ht="18"/>
    <row r="112" s="1" customFormat="1" ht="18"/>
    <row r="113" s="1" customFormat="1" ht="18"/>
    <row r="114" s="1" customFormat="1" ht="18"/>
    <row r="115" s="1" customFormat="1" ht="18"/>
    <row r="116" s="1" customFormat="1" ht="18"/>
    <row r="117" s="1" customFormat="1" ht="18"/>
    <row r="118" s="1" customFormat="1" ht="18"/>
    <row r="119" s="1" customFormat="1" ht="18"/>
    <row r="120" s="1" customFormat="1" ht="18"/>
    <row r="121" s="1" customFormat="1" ht="18"/>
    <row r="122" s="1" customFormat="1" ht="18"/>
    <row r="123" s="1" customFormat="1" ht="18"/>
    <row r="124" s="1" customFormat="1" ht="18"/>
    <row r="125" s="1" customFormat="1" ht="18"/>
    <row r="126" s="1" customFormat="1" ht="18"/>
    <row r="127" s="1" customFormat="1" ht="18"/>
    <row r="128" s="1" customFormat="1" ht="18"/>
    <row r="129" s="1" customFormat="1" ht="18"/>
    <row r="130" s="1" customFormat="1" ht="18"/>
    <row r="131" s="1" customFormat="1" ht="18"/>
    <row r="132" s="1" customFormat="1" ht="18"/>
    <row r="133" s="1" customFormat="1" ht="18"/>
    <row r="134" s="1" customFormat="1" ht="18"/>
    <row r="135" s="1" customFormat="1" ht="18"/>
    <row r="136" s="1" customFormat="1" ht="18"/>
    <row r="137" s="1" customFormat="1" ht="18"/>
    <row r="138" s="1" customFormat="1" ht="18"/>
    <row r="139" s="1" customFormat="1" ht="18"/>
    <row r="140" s="1" customFormat="1" ht="18"/>
    <row r="141" s="1" customFormat="1" ht="18"/>
    <row r="142" s="1" customFormat="1" ht="18"/>
    <row r="143" s="1" customFormat="1" ht="18"/>
    <row r="144" s="1" customFormat="1" ht="18"/>
    <row r="145" s="1" customFormat="1" ht="18"/>
    <row r="146" s="1" customFormat="1" ht="18"/>
    <row r="147" s="1" customFormat="1" ht="18"/>
    <row r="148" s="1" customFormat="1" ht="18"/>
    <row r="149" s="1" customFormat="1" ht="18"/>
    <row r="150" s="1" customFormat="1" ht="18"/>
    <row r="151" s="1" customFormat="1" ht="18"/>
    <row r="152" s="1" customFormat="1" ht="18"/>
    <row r="153" s="1" customFormat="1" ht="18"/>
    <row r="154" s="1" customFormat="1" ht="18"/>
    <row r="155" s="1" customFormat="1" ht="18"/>
    <row r="156" s="1" customFormat="1" ht="18"/>
    <row r="157" s="1" customFormat="1" ht="18"/>
    <row r="158" s="1" customFormat="1" ht="18"/>
    <row r="159" s="1" customFormat="1" ht="18"/>
    <row r="160" s="1" customFormat="1" ht="18"/>
    <row r="161" s="1" customFormat="1" ht="18"/>
    <row r="162" s="1" customFormat="1" ht="18"/>
    <row r="163" s="1" customFormat="1" ht="18"/>
    <row r="164" s="1" customFormat="1" ht="18"/>
    <row r="165" s="1" customFormat="1" ht="18"/>
    <row r="166" s="1" customFormat="1" ht="18"/>
    <row r="167" s="1" customFormat="1" ht="18"/>
    <row r="168" s="1" customFormat="1" ht="18"/>
    <row r="169" s="1" customFormat="1" ht="18"/>
    <row r="170" s="1" customFormat="1" ht="18"/>
    <row r="171" s="1" customFormat="1" ht="18"/>
    <row r="172" s="1" customFormat="1" ht="18"/>
    <row r="173" s="1" customFormat="1" ht="18"/>
    <row r="174" s="1" customFormat="1" ht="18"/>
    <row r="175" s="1" customFormat="1" ht="18"/>
    <row r="176" s="1" customFormat="1" ht="18"/>
    <row r="177" s="1" customFormat="1" ht="18"/>
    <row r="178" s="1" customFormat="1" ht="18"/>
    <row r="179" s="1" customFormat="1" ht="18"/>
    <row r="180" s="1" customFormat="1" ht="18"/>
    <row r="181" s="1" customFormat="1" ht="18"/>
    <row r="182" s="1" customFormat="1" ht="18"/>
    <row r="183" s="1" customFormat="1" ht="18"/>
    <row r="184" s="1" customFormat="1" ht="18"/>
    <row r="185" s="1" customFormat="1" ht="18"/>
    <row r="186" s="1" customFormat="1" ht="18"/>
    <row r="187" s="1" customFormat="1" ht="18"/>
    <row r="188" s="1" customFormat="1" ht="18"/>
    <row r="189" s="1" customFormat="1" ht="18"/>
    <row r="190" s="1" customFormat="1" ht="18"/>
    <row r="191" s="1" customFormat="1" ht="18"/>
    <row r="192" s="1" customFormat="1" ht="18"/>
    <row r="193" s="1" customFormat="1" ht="18"/>
    <row r="194" s="1" customFormat="1" ht="18"/>
    <row r="195" s="1" customFormat="1" ht="18"/>
    <row r="196" s="1" customFormat="1" ht="18"/>
    <row r="197" s="1" customFormat="1" ht="18"/>
    <row r="198" s="1" customFormat="1" ht="18"/>
    <row r="199" s="1" customFormat="1" ht="18"/>
    <row r="200" s="1" customFormat="1" ht="18"/>
    <row r="201" s="1" customFormat="1" ht="18"/>
    <row r="202" s="1" customFormat="1" ht="18"/>
    <row r="203" s="1" customFormat="1" ht="18"/>
    <row r="204" s="1" customFormat="1" ht="18"/>
    <row r="205" s="1" customFormat="1" ht="18"/>
    <row r="206" s="1" customFormat="1" ht="18"/>
    <row r="207" s="1" customFormat="1" ht="18"/>
    <row r="208" s="1" customFormat="1" ht="18"/>
    <row r="209" s="1" customFormat="1" ht="18"/>
    <row r="210" s="1" customFormat="1" ht="18"/>
    <row r="211" s="1" customFormat="1" ht="18"/>
    <row r="212" s="1" customFormat="1" ht="18"/>
    <row r="213" s="1" customFormat="1" ht="18"/>
    <row r="214" s="1" customFormat="1" ht="18"/>
    <row r="215" s="1" customFormat="1" ht="18"/>
    <row r="216" s="1" customFormat="1" ht="18"/>
    <row r="217" s="1" customFormat="1" ht="18"/>
    <row r="218" s="1" customFormat="1" ht="18"/>
  </sheetData>
  <printOptions/>
  <pageMargins left="0.75" right="0.75" top="1" bottom="1" header="0.5" footer="0.5"/>
  <pageSetup fitToHeight="1" fitToWidth="1" horizontalDpi="300" verticalDpi="300" orientation="portrait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zoomScale="125" zoomScaleNormal="125"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  <col min="2" max="2" width="9.57421875" style="0" bestFit="1" customWidth="1"/>
    <col min="3" max="3" width="11.28125" style="0" customWidth="1"/>
    <col min="4" max="4" width="9.57421875" style="0" customWidth="1"/>
    <col min="5" max="12" width="11.7109375" style="0" customWidth="1"/>
    <col min="22" max="22" width="11.00390625" style="0" bestFit="1" customWidth="1"/>
  </cols>
  <sheetData>
    <row r="1" ht="30">
      <c r="F1" s="95" t="s">
        <v>108</v>
      </c>
    </row>
    <row r="2" ht="12.75">
      <c r="B2" s="110" t="s">
        <v>128</v>
      </c>
    </row>
    <row r="3" spans="1:28" ht="15.75">
      <c r="A3" s="87">
        <v>1</v>
      </c>
      <c r="B3" s="43" t="s">
        <v>116</v>
      </c>
      <c r="C3" s="43"/>
      <c r="D3" s="43"/>
      <c r="E3" s="43"/>
      <c r="F3" s="58">
        <v>0</v>
      </c>
      <c r="G3" s="43" t="s">
        <v>107</v>
      </c>
      <c r="H3" s="43"/>
      <c r="Q3" s="79"/>
      <c r="U3" s="104" t="s">
        <v>63</v>
      </c>
      <c r="V3" s="105">
        <f>(V4-$U$4)/$U$4</f>
        <v>0.3333333333333333</v>
      </c>
      <c r="W3" s="105">
        <f aca="true" t="shared" si="0" ref="W3:AB3">(W4-$U$4)/$U$4</f>
        <v>0.6666666666666666</v>
      </c>
      <c r="X3" s="105">
        <f t="shared" si="0"/>
        <v>1</v>
      </c>
      <c r="Y3" s="105">
        <f t="shared" si="0"/>
        <v>1.3333333333333333</v>
      </c>
      <c r="Z3" s="105">
        <f t="shared" si="0"/>
        <v>1.6666666666666667</v>
      </c>
      <c r="AA3" s="105">
        <f t="shared" si="0"/>
        <v>2</v>
      </c>
      <c r="AB3" s="105">
        <f t="shared" si="0"/>
        <v>2.3333333333333335</v>
      </c>
    </row>
    <row r="4" spans="1:28" ht="15.75">
      <c r="A4" s="87">
        <v>90</v>
      </c>
      <c r="B4" s="43" t="s">
        <v>117</v>
      </c>
      <c r="C4" s="43"/>
      <c r="D4" s="43"/>
      <c r="E4" s="43"/>
      <c r="F4" s="58">
        <f>A4*0.09/365*100</f>
        <v>2.219178082191781</v>
      </c>
      <c r="G4" s="43" t="s">
        <v>113</v>
      </c>
      <c r="H4" s="43"/>
      <c r="J4" s="43"/>
      <c r="Q4" s="79"/>
      <c r="S4" s="102" t="s">
        <v>82</v>
      </c>
      <c r="U4" s="100">
        <f>E19</f>
        <v>60</v>
      </c>
      <c r="V4" s="100">
        <f aca="true" t="shared" si="1" ref="V4:AB4">F19</f>
        <v>80</v>
      </c>
      <c r="W4" s="100">
        <f t="shared" si="1"/>
        <v>100</v>
      </c>
      <c r="X4" s="100">
        <f t="shared" si="1"/>
        <v>120</v>
      </c>
      <c r="Y4" s="100">
        <f t="shared" si="1"/>
        <v>140</v>
      </c>
      <c r="Z4" s="100">
        <f t="shared" si="1"/>
        <v>160</v>
      </c>
      <c r="AA4" s="100">
        <f t="shared" si="1"/>
        <v>180</v>
      </c>
      <c r="AB4" s="100">
        <f t="shared" si="1"/>
        <v>200</v>
      </c>
    </row>
    <row r="5" spans="1:28" ht="15.75">
      <c r="A5" s="58">
        <v>60</v>
      </c>
      <c r="B5" s="43" t="s">
        <v>82</v>
      </c>
      <c r="C5" s="43"/>
      <c r="D5" s="43"/>
      <c r="E5" s="43"/>
      <c r="F5" s="86">
        <v>0.005</v>
      </c>
      <c r="G5" s="43" t="s">
        <v>21</v>
      </c>
      <c r="H5" s="43"/>
      <c r="J5" s="43"/>
      <c r="Q5" s="79"/>
      <c r="S5" s="102" t="s">
        <v>89</v>
      </c>
      <c r="U5" s="88">
        <f aca="true" t="shared" si="2" ref="U5:AB5">($A$7*($F$6+$F$11)/2)*(1+$A$8)*(U4/2000)*$A$4</f>
        <v>66.976875</v>
      </c>
      <c r="V5" s="88">
        <f t="shared" si="2"/>
        <v>89.30250000000001</v>
      </c>
      <c r="W5" s="88">
        <f t="shared" si="2"/>
        <v>111.62812500000001</v>
      </c>
      <c r="X5" s="88">
        <f t="shared" si="2"/>
        <v>133.95375</v>
      </c>
      <c r="Y5" s="88">
        <f t="shared" si="2"/>
        <v>156.27937500000002</v>
      </c>
      <c r="Z5" s="88">
        <f t="shared" si="2"/>
        <v>178.60500000000002</v>
      </c>
      <c r="AA5" s="88">
        <f t="shared" si="2"/>
        <v>200.93062500000002</v>
      </c>
      <c r="AB5" s="88">
        <f t="shared" si="2"/>
        <v>223.25625000000002</v>
      </c>
    </row>
    <row r="6" spans="1:28" ht="15.75">
      <c r="A6" s="58">
        <v>20</v>
      </c>
      <c r="B6" s="43" t="s">
        <v>83</v>
      </c>
      <c r="C6" s="43"/>
      <c r="D6" s="43"/>
      <c r="E6" s="43"/>
      <c r="F6" s="87">
        <v>675</v>
      </c>
      <c r="G6" s="43" t="s">
        <v>92</v>
      </c>
      <c r="J6" s="43"/>
      <c r="S6" s="102" t="s">
        <v>90</v>
      </c>
      <c r="U6" s="88">
        <f>A9+A10+A11+A12+A13+A14+F3+F4+(F5*F6*F9*0.01)</f>
        <v>68.04917808219177</v>
      </c>
      <c r="V6" s="88">
        <f>$U$6</f>
        <v>68.04917808219177</v>
      </c>
      <c r="W6" s="88">
        <f aca="true" t="shared" si="3" ref="W6:AB6">$U$6</f>
        <v>68.04917808219177</v>
      </c>
      <c r="X6" s="88">
        <f t="shared" si="3"/>
        <v>68.04917808219177</v>
      </c>
      <c r="Y6" s="88">
        <f t="shared" si="3"/>
        <v>68.04917808219177</v>
      </c>
      <c r="Z6" s="88">
        <f t="shared" si="3"/>
        <v>68.04917808219177</v>
      </c>
      <c r="AA6" s="88">
        <f t="shared" si="3"/>
        <v>68.04917808219177</v>
      </c>
      <c r="AB6" s="88">
        <f t="shared" si="3"/>
        <v>68.04917808219177</v>
      </c>
    </row>
    <row r="7" spans="1:28" ht="15.75">
      <c r="A7" s="86">
        <v>0.03</v>
      </c>
      <c r="B7" s="43" t="s">
        <v>86</v>
      </c>
      <c r="C7" s="43"/>
      <c r="D7" s="43"/>
      <c r="E7" s="43"/>
      <c r="F7" s="89">
        <v>0.1</v>
      </c>
      <c r="G7" s="43" t="s">
        <v>94</v>
      </c>
      <c r="J7" s="43"/>
      <c r="S7" s="102" t="s">
        <v>91</v>
      </c>
      <c r="U7" s="88">
        <f>U5+U6</f>
        <v>135.02605308219177</v>
      </c>
      <c r="V7" s="88">
        <f aca="true" t="shared" si="4" ref="V7:AB7">V5+V6</f>
        <v>157.35167808219177</v>
      </c>
      <c r="W7" s="88">
        <f t="shared" si="4"/>
        <v>179.67730308219177</v>
      </c>
      <c r="X7" s="88">
        <f t="shared" si="4"/>
        <v>202.00292808219177</v>
      </c>
      <c r="Y7" s="88">
        <f t="shared" si="4"/>
        <v>224.32855308219177</v>
      </c>
      <c r="Z7" s="88">
        <f t="shared" si="4"/>
        <v>246.65417808219178</v>
      </c>
      <c r="AA7" s="88">
        <f t="shared" si="4"/>
        <v>268.9798030821918</v>
      </c>
      <c r="AB7" s="88">
        <f t="shared" si="4"/>
        <v>291.3054280821918</v>
      </c>
    </row>
    <row r="8" spans="1:28" ht="15.75">
      <c r="A8" s="86">
        <v>0.05</v>
      </c>
      <c r="B8" s="43" t="s">
        <v>123</v>
      </c>
      <c r="C8" s="43"/>
      <c r="D8" s="43"/>
      <c r="E8" s="43"/>
      <c r="F8" s="43">
        <f>F6*(1-F7)</f>
        <v>607.5</v>
      </c>
      <c r="G8" s="43" t="s">
        <v>93</v>
      </c>
      <c r="H8" s="43"/>
      <c r="J8" s="43"/>
      <c r="L8" s="60"/>
      <c r="M8" s="93"/>
      <c r="N8" s="60"/>
      <c r="S8" s="102" t="s">
        <v>118</v>
      </c>
      <c r="U8" s="104" t="s">
        <v>63</v>
      </c>
      <c r="V8" s="105">
        <f aca="true" t="shared" si="5" ref="V8:AB8">(V7-$U$7)/$U$7</f>
        <v>0.16534309113227327</v>
      </c>
      <c r="W8" s="105">
        <f t="shared" si="5"/>
        <v>0.33068618226454655</v>
      </c>
      <c r="X8" s="105">
        <f t="shared" si="5"/>
        <v>0.49602927339681985</v>
      </c>
      <c r="Y8" s="105">
        <f t="shared" si="5"/>
        <v>0.6613723645290931</v>
      </c>
      <c r="Z8" s="105">
        <f t="shared" si="5"/>
        <v>0.8267154556613664</v>
      </c>
      <c r="AA8" s="105">
        <f t="shared" si="5"/>
        <v>0.9920585467936397</v>
      </c>
      <c r="AB8" s="105">
        <f t="shared" si="5"/>
        <v>1.1574016379259129</v>
      </c>
    </row>
    <row r="9" spans="1:14" ht="15.75">
      <c r="A9" s="58">
        <f>E9*A4</f>
        <v>40.05</v>
      </c>
      <c r="B9" s="43" t="s">
        <v>127</v>
      </c>
      <c r="C9" s="43"/>
      <c r="D9" s="43"/>
      <c r="E9" s="109">
        <v>0.445</v>
      </c>
      <c r="F9" s="58">
        <v>112</v>
      </c>
      <c r="G9" s="43" t="s">
        <v>61</v>
      </c>
      <c r="H9" s="43"/>
      <c r="J9" s="43"/>
      <c r="L9" s="60"/>
      <c r="M9" s="60"/>
      <c r="N9" s="60"/>
    </row>
    <row r="10" spans="1:26" ht="15.75">
      <c r="A10" s="58">
        <v>12</v>
      </c>
      <c r="B10" s="43" t="s">
        <v>103</v>
      </c>
      <c r="C10" s="43"/>
      <c r="D10" s="43"/>
      <c r="E10" s="43"/>
      <c r="F10" s="91">
        <v>2.5</v>
      </c>
      <c r="G10" s="43" t="s">
        <v>23</v>
      </c>
      <c r="H10" s="43"/>
      <c r="J10" s="43"/>
      <c r="L10" s="92"/>
      <c r="M10" s="60"/>
      <c r="N10" s="60"/>
      <c r="S10" s="113">
        <f>F10</f>
        <v>2.5</v>
      </c>
      <c r="T10" s="102" t="s">
        <v>132</v>
      </c>
      <c r="Y10" s="79">
        <f>F6</f>
        <v>675</v>
      </c>
      <c r="Z10" s="79" t="s">
        <v>133</v>
      </c>
    </row>
    <row r="11" spans="1:14" ht="15.75">
      <c r="A11" s="58">
        <v>1.5</v>
      </c>
      <c r="B11" s="43" t="s">
        <v>104</v>
      </c>
      <c r="C11" s="43"/>
      <c r="D11" s="43"/>
      <c r="E11" s="44"/>
      <c r="F11" s="85">
        <f>A4*F10+F6</f>
        <v>900</v>
      </c>
      <c r="G11" s="43" t="s">
        <v>97</v>
      </c>
      <c r="H11" s="43"/>
      <c r="J11" s="43"/>
      <c r="L11" s="92"/>
      <c r="M11" s="60"/>
      <c r="N11" s="60"/>
    </row>
    <row r="12" spans="1:25" ht="16.5" customHeight="1">
      <c r="A12" s="58">
        <v>3</v>
      </c>
      <c r="B12" s="43" t="s">
        <v>105</v>
      </c>
      <c r="C12" s="43"/>
      <c r="D12" s="43"/>
      <c r="E12" s="44"/>
      <c r="F12" s="86">
        <v>0.05</v>
      </c>
      <c r="G12" s="43" t="s">
        <v>95</v>
      </c>
      <c r="H12" s="43"/>
      <c r="T12" s="60" t="s">
        <v>100</v>
      </c>
      <c r="U12" s="111">
        <f>F13</f>
        <v>855</v>
      </c>
      <c r="V12" s="111">
        <f>F11</f>
        <v>900</v>
      </c>
      <c r="W12" s="79" t="s">
        <v>122</v>
      </c>
      <c r="X12" s="60"/>
      <c r="Y12" s="60"/>
    </row>
    <row r="13" spans="1:25" ht="17.25" customHeight="1">
      <c r="A13" s="58">
        <v>1.5</v>
      </c>
      <c r="B13" s="43" t="s">
        <v>106</v>
      </c>
      <c r="C13" s="43"/>
      <c r="D13" s="43"/>
      <c r="E13" s="44"/>
      <c r="F13" s="85">
        <f>F11*(1-F12)</f>
        <v>855</v>
      </c>
      <c r="G13" s="43" t="s">
        <v>98</v>
      </c>
      <c r="H13" s="43"/>
      <c r="S13" s="60" t="s">
        <v>129</v>
      </c>
      <c r="U13" s="60" t="s">
        <v>121</v>
      </c>
      <c r="V13" s="60" t="s">
        <v>121</v>
      </c>
      <c r="W13" s="60"/>
      <c r="X13" s="60"/>
      <c r="Y13" s="60"/>
    </row>
    <row r="14" spans="1:22" ht="17.25" customHeight="1">
      <c r="A14" s="58">
        <v>4</v>
      </c>
      <c r="B14" s="43" t="s">
        <v>112</v>
      </c>
      <c r="C14" s="43"/>
      <c r="D14" s="43"/>
      <c r="E14" s="43"/>
      <c r="F14" s="58">
        <v>102</v>
      </c>
      <c r="G14" s="43" t="s">
        <v>62</v>
      </c>
      <c r="H14" s="43"/>
      <c r="S14" s="50">
        <f>F6</f>
        <v>675</v>
      </c>
      <c r="T14" s="60" t="s">
        <v>121</v>
      </c>
      <c r="U14" s="112">
        <f>(U12-S14)/$A$4</f>
        <v>2</v>
      </c>
      <c r="V14" s="112">
        <f>(V12-S14)/$A$4</f>
        <v>2.5</v>
      </c>
    </row>
    <row r="15" spans="5:22" ht="17.25" customHeight="1">
      <c r="E15" s="43"/>
      <c r="F15" s="91"/>
      <c r="G15" s="43"/>
      <c r="P15" s="49"/>
      <c r="Q15" s="43"/>
      <c r="S15" s="50">
        <f>F8</f>
        <v>607.5</v>
      </c>
      <c r="T15" s="60" t="s">
        <v>121</v>
      </c>
      <c r="U15" s="112">
        <f>(U12-S15)/$A$4</f>
        <v>2.75</v>
      </c>
      <c r="V15" s="112">
        <f>(V12-S15)/$A$4</f>
        <v>3.25</v>
      </c>
    </row>
    <row r="16" spans="6:19" ht="15.75">
      <c r="F16" s="50"/>
      <c r="S16" s="60" t="s">
        <v>131</v>
      </c>
    </row>
    <row r="17" spans="1:19" ht="12.75">
      <c r="A17" s="78" t="s">
        <v>84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S17" s="60" t="s">
        <v>130</v>
      </c>
    </row>
    <row r="18" spans="1:14" ht="12.75">
      <c r="A18" s="60" t="s">
        <v>80</v>
      </c>
      <c r="B18" s="60" t="s">
        <v>81</v>
      </c>
      <c r="C18" s="60" t="s">
        <v>77</v>
      </c>
      <c r="D18" s="60" t="s">
        <v>77</v>
      </c>
      <c r="E18" s="80" t="s">
        <v>85</v>
      </c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2.75">
      <c r="A19" s="83" t="s">
        <v>77</v>
      </c>
      <c r="B19" s="83" t="s">
        <v>77</v>
      </c>
      <c r="C19" s="83" t="s">
        <v>96</v>
      </c>
      <c r="D19" s="83" t="s">
        <v>134</v>
      </c>
      <c r="E19" s="82">
        <f>A5</f>
        <v>60</v>
      </c>
      <c r="F19" s="82">
        <f aca="true" t="shared" si="6" ref="F19:L19">E19+$A$6</f>
        <v>80</v>
      </c>
      <c r="G19" s="82">
        <f t="shared" si="6"/>
        <v>100</v>
      </c>
      <c r="H19" s="82">
        <f t="shared" si="6"/>
        <v>120</v>
      </c>
      <c r="I19" s="82">
        <f t="shared" si="6"/>
        <v>140</v>
      </c>
      <c r="J19" s="82">
        <f t="shared" si="6"/>
        <v>160</v>
      </c>
      <c r="K19" s="82">
        <f t="shared" si="6"/>
        <v>180</v>
      </c>
      <c r="L19" s="82">
        <f t="shared" si="6"/>
        <v>200</v>
      </c>
      <c r="M19" s="78"/>
      <c r="N19" s="78"/>
    </row>
    <row r="20" spans="1:14" ht="12.75">
      <c r="A20" s="84" t="s">
        <v>79</v>
      </c>
      <c r="B20" s="84" t="s">
        <v>79</v>
      </c>
      <c r="C20" s="84" t="s">
        <v>79</v>
      </c>
      <c r="D20" s="60" t="s">
        <v>79</v>
      </c>
      <c r="E20" s="80" t="s">
        <v>88</v>
      </c>
      <c r="F20" s="79"/>
      <c r="G20" s="79"/>
      <c r="H20" s="79"/>
      <c r="I20" s="79"/>
      <c r="J20" s="79"/>
      <c r="K20" s="79"/>
      <c r="L20" s="79"/>
      <c r="M20" s="79"/>
      <c r="N20" s="79"/>
    </row>
    <row r="21" spans="1:14" ht="15.75">
      <c r="A21" s="43"/>
      <c r="B21" s="43"/>
      <c r="C21" s="79"/>
      <c r="D21" s="79"/>
      <c r="E21" s="90"/>
      <c r="F21" s="79"/>
      <c r="G21" s="79"/>
      <c r="H21" s="79"/>
      <c r="I21" s="79"/>
      <c r="J21" s="79"/>
      <c r="K21" s="79"/>
      <c r="L21" s="79"/>
      <c r="M21" s="79"/>
      <c r="N21" s="79"/>
    </row>
    <row r="22" spans="1:17" ht="15.75">
      <c r="A22" s="44">
        <f>$F$9</f>
        <v>112</v>
      </c>
      <c r="B22" s="44">
        <f>$F$14</f>
        <v>102</v>
      </c>
      <c r="C22" s="44">
        <f aca="true" t="shared" si="7" ref="C22:C36">B22-A22</f>
        <v>-10</v>
      </c>
      <c r="D22" s="99"/>
      <c r="E22" s="94">
        <f aca="true" t="shared" si="8" ref="E22:L36">(($B22*$F$13*0.01)-($A22*$F$8*0.01)-$U$6-(($A$7*($F$6+$F$11)/2)*(1+$A$8)*(E$19/2000)*$A$4))*$A$3</f>
        <v>56.673946917808266</v>
      </c>
      <c r="F22" s="94">
        <f t="shared" si="8"/>
        <v>34.34832191780826</v>
      </c>
      <c r="G22" s="94">
        <f t="shared" si="8"/>
        <v>12.022696917808261</v>
      </c>
      <c r="H22" s="94">
        <f t="shared" si="8"/>
        <v>-10.302928082191741</v>
      </c>
      <c r="I22" s="94">
        <f t="shared" si="8"/>
        <v>-32.62855308219174</v>
      </c>
      <c r="J22" s="94">
        <f t="shared" si="8"/>
        <v>-54.954178082191746</v>
      </c>
      <c r="K22" s="94">
        <f t="shared" si="8"/>
        <v>-77.27980308219175</v>
      </c>
      <c r="L22" s="94">
        <f t="shared" si="8"/>
        <v>-99.60542808219175</v>
      </c>
      <c r="M22" s="79"/>
      <c r="N22" s="79"/>
      <c r="O22" s="57"/>
      <c r="P22" s="57"/>
      <c r="Q22" s="57"/>
    </row>
    <row r="23" spans="1:14" ht="15.75">
      <c r="A23" s="44">
        <f aca="true" t="shared" si="9" ref="A23:A36">$F$9</f>
        <v>112</v>
      </c>
      <c r="B23" s="44">
        <f>B22+1</f>
        <v>103</v>
      </c>
      <c r="C23" s="44">
        <f t="shared" si="7"/>
        <v>-9</v>
      </c>
      <c r="D23" s="116">
        <f>B23-$B$22</f>
        <v>1</v>
      </c>
      <c r="E23" s="94">
        <f t="shared" si="8"/>
        <v>65.22394691780823</v>
      </c>
      <c r="F23" s="94">
        <f t="shared" si="8"/>
        <v>42.89832191780823</v>
      </c>
      <c r="G23" s="94">
        <f t="shared" si="8"/>
        <v>20.57269691780823</v>
      </c>
      <c r="H23" s="94">
        <f t="shared" si="8"/>
        <v>-1.7529280821917723</v>
      </c>
      <c r="I23" s="94">
        <f t="shared" si="8"/>
        <v>-24.078553082191775</v>
      </c>
      <c r="J23" s="94">
        <f t="shared" si="8"/>
        <v>-46.40417808219178</v>
      </c>
      <c r="K23" s="94">
        <f t="shared" si="8"/>
        <v>-68.72980308219178</v>
      </c>
      <c r="L23" s="94">
        <f t="shared" si="8"/>
        <v>-91.05542808219178</v>
      </c>
      <c r="M23" s="79"/>
      <c r="N23" s="79"/>
    </row>
    <row r="24" spans="1:14" ht="15.75">
      <c r="A24" s="44">
        <f t="shared" si="9"/>
        <v>112</v>
      </c>
      <c r="B24" s="44">
        <f aca="true" t="shared" si="10" ref="B24:B36">B23+1</f>
        <v>104</v>
      </c>
      <c r="C24" s="44">
        <f t="shared" si="7"/>
        <v>-8</v>
      </c>
      <c r="D24" s="116">
        <f aca="true" t="shared" si="11" ref="D24:D36">B24-$B$22</f>
        <v>2</v>
      </c>
      <c r="E24" s="94">
        <f t="shared" si="8"/>
        <v>73.7739469178083</v>
      </c>
      <c r="F24" s="94">
        <f t="shared" si="8"/>
        <v>51.4483219178083</v>
      </c>
      <c r="G24" s="94">
        <f t="shared" si="8"/>
        <v>29.122696917808298</v>
      </c>
      <c r="H24" s="94">
        <f t="shared" si="8"/>
        <v>6.797071917808296</v>
      </c>
      <c r="I24" s="94">
        <f t="shared" si="8"/>
        <v>-15.528553082191706</v>
      </c>
      <c r="J24" s="94">
        <f t="shared" si="8"/>
        <v>-37.85417808219171</v>
      </c>
      <c r="K24" s="94">
        <f t="shared" si="8"/>
        <v>-60.17980308219171</v>
      </c>
      <c r="L24" s="94">
        <f t="shared" si="8"/>
        <v>-82.50542808219171</v>
      </c>
      <c r="M24" s="79"/>
      <c r="N24" s="79"/>
    </row>
    <row r="25" spans="1:14" ht="15.75">
      <c r="A25" s="44">
        <f t="shared" si="9"/>
        <v>112</v>
      </c>
      <c r="B25" s="44">
        <f t="shared" si="10"/>
        <v>105</v>
      </c>
      <c r="C25" s="44">
        <f t="shared" si="7"/>
        <v>-7</v>
      </c>
      <c r="D25" s="116">
        <f t="shared" si="11"/>
        <v>3</v>
      </c>
      <c r="E25" s="94">
        <f t="shared" si="8"/>
        <v>82.32394691780826</v>
      </c>
      <c r="F25" s="94">
        <f t="shared" si="8"/>
        <v>59.998321917808255</v>
      </c>
      <c r="G25" s="94">
        <f t="shared" si="8"/>
        <v>37.67269691780825</v>
      </c>
      <c r="H25" s="94">
        <f t="shared" si="8"/>
        <v>15.34707191780825</v>
      </c>
      <c r="I25" s="94">
        <f t="shared" si="8"/>
        <v>-6.978553082191752</v>
      </c>
      <c r="J25" s="94">
        <f t="shared" si="8"/>
        <v>-29.304178082191754</v>
      </c>
      <c r="K25" s="94">
        <f t="shared" si="8"/>
        <v>-51.629803082191756</v>
      </c>
      <c r="L25" s="94">
        <f t="shared" si="8"/>
        <v>-73.95542808219176</v>
      </c>
      <c r="M25" s="79"/>
      <c r="N25" s="79"/>
    </row>
    <row r="26" spans="1:14" ht="15.75">
      <c r="A26" s="44">
        <f t="shared" si="9"/>
        <v>112</v>
      </c>
      <c r="B26" s="44">
        <f t="shared" si="10"/>
        <v>106</v>
      </c>
      <c r="C26" s="44">
        <f t="shared" si="7"/>
        <v>-6</v>
      </c>
      <c r="D26" s="116">
        <f t="shared" si="11"/>
        <v>4</v>
      </c>
      <c r="E26" s="94">
        <f t="shared" si="8"/>
        <v>90.87394691780833</v>
      </c>
      <c r="F26" s="94">
        <f t="shared" si="8"/>
        <v>68.54832191780832</v>
      </c>
      <c r="G26" s="94">
        <f t="shared" si="8"/>
        <v>46.22269691780832</v>
      </c>
      <c r="H26" s="94">
        <f t="shared" si="8"/>
        <v>23.89707191780832</v>
      </c>
      <c r="I26" s="94">
        <f t="shared" si="8"/>
        <v>1.5714469178083164</v>
      </c>
      <c r="J26" s="94">
        <f t="shared" si="8"/>
        <v>-20.754178082191686</v>
      </c>
      <c r="K26" s="94">
        <f t="shared" si="8"/>
        <v>-43.07980308219169</v>
      </c>
      <c r="L26" s="94">
        <f t="shared" si="8"/>
        <v>-65.40542808219169</v>
      </c>
      <c r="M26" s="79"/>
      <c r="N26" s="79"/>
    </row>
    <row r="27" spans="1:14" ht="15.75">
      <c r="A27" s="44">
        <f t="shared" si="9"/>
        <v>112</v>
      </c>
      <c r="B27" s="44">
        <f t="shared" si="10"/>
        <v>107</v>
      </c>
      <c r="C27" s="44">
        <f t="shared" si="7"/>
        <v>-5</v>
      </c>
      <c r="D27" s="116">
        <f t="shared" si="11"/>
        <v>5</v>
      </c>
      <c r="E27" s="94">
        <f t="shared" si="8"/>
        <v>99.42394691780828</v>
      </c>
      <c r="F27" s="94">
        <f t="shared" si="8"/>
        <v>77.09832191780828</v>
      </c>
      <c r="G27" s="94">
        <f t="shared" si="8"/>
        <v>54.772696917808275</v>
      </c>
      <c r="H27" s="94">
        <f t="shared" si="8"/>
        <v>32.44707191780827</v>
      </c>
      <c r="I27" s="94">
        <f t="shared" si="8"/>
        <v>10.12144691780827</v>
      </c>
      <c r="J27" s="94">
        <f t="shared" si="8"/>
        <v>-12.204178082191731</v>
      </c>
      <c r="K27" s="94">
        <f t="shared" si="8"/>
        <v>-34.529803082191734</v>
      </c>
      <c r="L27" s="94">
        <f t="shared" si="8"/>
        <v>-56.855428082191736</v>
      </c>
      <c r="M27" s="79"/>
      <c r="N27" s="79"/>
    </row>
    <row r="28" spans="1:14" ht="15.75">
      <c r="A28" s="44">
        <f t="shared" si="9"/>
        <v>112</v>
      </c>
      <c r="B28" s="44">
        <f t="shared" si="10"/>
        <v>108</v>
      </c>
      <c r="C28" s="44">
        <f t="shared" si="7"/>
        <v>-4</v>
      </c>
      <c r="D28" s="116">
        <f t="shared" si="11"/>
        <v>6</v>
      </c>
      <c r="E28" s="94">
        <f t="shared" si="8"/>
        <v>107.97394691780823</v>
      </c>
      <c r="F28" s="94">
        <f t="shared" si="8"/>
        <v>85.64832191780823</v>
      </c>
      <c r="G28" s="94">
        <f t="shared" si="8"/>
        <v>63.32269691780823</v>
      </c>
      <c r="H28" s="94">
        <f t="shared" si="8"/>
        <v>40.99707191780823</v>
      </c>
      <c r="I28" s="94">
        <f t="shared" si="8"/>
        <v>18.671446917808225</v>
      </c>
      <c r="J28" s="94">
        <f t="shared" si="8"/>
        <v>-3.654178082191777</v>
      </c>
      <c r="K28" s="94">
        <f t="shared" si="8"/>
        <v>-25.97980308219178</v>
      </c>
      <c r="L28" s="94">
        <f t="shared" si="8"/>
        <v>-48.30542808219178</v>
      </c>
      <c r="M28" s="79"/>
      <c r="N28" s="79"/>
    </row>
    <row r="29" spans="1:14" ht="15.75">
      <c r="A29" s="44">
        <f t="shared" si="9"/>
        <v>112</v>
      </c>
      <c r="B29" s="44">
        <f t="shared" si="10"/>
        <v>109</v>
      </c>
      <c r="C29" s="44">
        <f t="shared" si="7"/>
        <v>-3</v>
      </c>
      <c r="D29" s="116">
        <f t="shared" si="11"/>
        <v>7</v>
      </c>
      <c r="E29" s="94">
        <f t="shared" si="8"/>
        <v>116.5239469178083</v>
      </c>
      <c r="F29" s="94">
        <f t="shared" si="8"/>
        <v>94.1983219178083</v>
      </c>
      <c r="G29" s="94">
        <f t="shared" si="8"/>
        <v>71.8726969178083</v>
      </c>
      <c r="H29" s="94">
        <f t="shared" si="8"/>
        <v>49.547071917808296</v>
      </c>
      <c r="I29" s="94">
        <f t="shared" si="8"/>
        <v>27.221446917808294</v>
      </c>
      <c r="J29" s="94">
        <f t="shared" si="8"/>
        <v>4.895821917808291</v>
      </c>
      <c r="K29" s="94">
        <f t="shared" si="8"/>
        <v>-17.42980308219171</v>
      </c>
      <c r="L29" s="94">
        <f t="shared" si="8"/>
        <v>-39.75542808219171</v>
      </c>
      <c r="M29" s="79"/>
      <c r="N29" s="79"/>
    </row>
    <row r="30" spans="1:14" ht="15.75">
      <c r="A30" s="44">
        <f t="shared" si="9"/>
        <v>112</v>
      </c>
      <c r="B30" s="44">
        <f t="shared" si="10"/>
        <v>110</v>
      </c>
      <c r="C30" s="44">
        <f t="shared" si="7"/>
        <v>-2</v>
      </c>
      <c r="D30" s="116">
        <f t="shared" si="11"/>
        <v>8</v>
      </c>
      <c r="E30" s="94">
        <f t="shared" si="8"/>
        <v>125.07394691780826</v>
      </c>
      <c r="F30" s="94">
        <f t="shared" si="8"/>
        <v>102.74832191780825</v>
      </c>
      <c r="G30" s="94">
        <f t="shared" si="8"/>
        <v>80.42269691780825</v>
      </c>
      <c r="H30" s="94">
        <f t="shared" si="8"/>
        <v>58.09707191780825</v>
      </c>
      <c r="I30" s="94">
        <f t="shared" si="8"/>
        <v>35.77144691780825</v>
      </c>
      <c r="J30" s="94">
        <f t="shared" si="8"/>
        <v>13.445821917808246</v>
      </c>
      <c r="K30" s="94">
        <f t="shared" si="8"/>
        <v>-8.879803082191756</v>
      </c>
      <c r="L30" s="94">
        <f t="shared" si="8"/>
        <v>-31.20542808219176</v>
      </c>
      <c r="M30" s="79"/>
      <c r="N30" s="79"/>
    </row>
    <row r="31" spans="1:14" ht="15.75">
      <c r="A31" s="44">
        <f t="shared" si="9"/>
        <v>112</v>
      </c>
      <c r="B31" s="44">
        <f t="shared" si="10"/>
        <v>111</v>
      </c>
      <c r="C31" s="44">
        <f t="shared" si="7"/>
        <v>-1</v>
      </c>
      <c r="D31" s="116">
        <f t="shared" si="11"/>
        <v>9</v>
      </c>
      <c r="E31" s="94">
        <f t="shared" si="8"/>
        <v>133.62394691780833</v>
      </c>
      <c r="F31" s="94">
        <f t="shared" si="8"/>
        <v>111.29832191780832</v>
      </c>
      <c r="G31" s="94">
        <f t="shared" si="8"/>
        <v>88.97269691780832</v>
      </c>
      <c r="H31" s="94">
        <f t="shared" si="8"/>
        <v>66.64707191780832</v>
      </c>
      <c r="I31" s="94">
        <f t="shared" si="8"/>
        <v>44.321446917808316</v>
      </c>
      <c r="J31" s="94">
        <f t="shared" si="8"/>
        <v>21.995821917808314</v>
      </c>
      <c r="K31" s="94">
        <f t="shared" si="8"/>
        <v>-0.3298030821916882</v>
      </c>
      <c r="L31" s="94">
        <f t="shared" si="8"/>
        <v>-22.65542808219169</v>
      </c>
      <c r="M31" s="79"/>
      <c r="N31" s="79"/>
    </row>
    <row r="32" spans="1:14" ht="15.75">
      <c r="A32" s="44">
        <f t="shared" si="9"/>
        <v>112</v>
      </c>
      <c r="B32" s="44">
        <f t="shared" si="10"/>
        <v>112</v>
      </c>
      <c r="C32" s="44">
        <f t="shared" si="7"/>
        <v>0</v>
      </c>
      <c r="D32" s="116">
        <f t="shared" si="11"/>
        <v>10</v>
      </c>
      <c r="E32" s="94">
        <f t="shared" si="8"/>
        <v>142.17394691780828</v>
      </c>
      <c r="F32" s="94">
        <f t="shared" si="8"/>
        <v>119.84832191780828</v>
      </c>
      <c r="G32" s="94">
        <f t="shared" si="8"/>
        <v>97.52269691780828</v>
      </c>
      <c r="H32" s="94">
        <f t="shared" si="8"/>
        <v>75.19707191780827</v>
      </c>
      <c r="I32" s="94">
        <f t="shared" si="8"/>
        <v>52.87144691780827</v>
      </c>
      <c r="J32" s="94">
        <f t="shared" si="8"/>
        <v>30.54582191780827</v>
      </c>
      <c r="K32" s="94">
        <f t="shared" si="8"/>
        <v>8.220196917808266</v>
      </c>
      <c r="L32" s="94">
        <f t="shared" si="8"/>
        <v>-14.105428082191736</v>
      </c>
      <c r="M32" s="79"/>
      <c r="N32" s="79"/>
    </row>
    <row r="33" spans="1:14" ht="15.75">
      <c r="A33" s="44">
        <f t="shared" si="9"/>
        <v>112</v>
      </c>
      <c r="B33" s="44">
        <f t="shared" si="10"/>
        <v>113</v>
      </c>
      <c r="C33" s="44">
        <f t="shared" si="7"/>
        <v>1</v>
      </c>
      <c r="D33" s="116">
        <f t="shared" si="11"/>
        <v>11</v>
      </c>
      <c r="E33" s="94">
        <f t="shared" si="8"/>
        <v>150.72394691780823</v>
      </c>
      <c r="F33" s="94">
        <f t="shared" si="8"/>
        <v>128.39832191780823</v>
      </c>
      <c r="G33" s="94">
        <f t="shared" si="8"/>
        <v>106.07269691780823</v>
      </c>
      <c r="H33" s="94">
        <f t="shared" si="8"/>
        <v>83.74707191780823</v>
      </c>
      <c r="I33" s="94">
        <f t="shared" si="8"/>
        <v>61.421446917808225</v>
      </c>
      <c r="J33" s="94">
        <f t="shared" si="8"/>
        <v>39.09582191780822</v>
      </c>
      <c r="K33" s="94">
        <f t="shared" si="8"/>
        <v>16.77019691780822</v>
      </c>
      <c r="L33" s="94">
        <f t="shared" si="8"/>
        <v>-5.555428082191781</v>
      </c>
      <c r="M33" s="79"/>
      <c r="N33" s="79"/>
    </row>
    <row r="34" spans="1:14" ht="15.75">
      <c r="A34" s="44">
        <f t="shared" si="9"/>
        <v>112</v>
      </c>
      <c r="B34" s="44">
        <f t="shared" si="10"/>
        <v>114</v>
      </c>
      <c r="C34" s="44">
        <f t="shared" si="7"/>
        <v>2</v>
      </c>
      <c r="D34" s="116">
        <f t="shared" si="11"/>
        <v>12</v>
      </c>
      <c r="E34" s="94">
        <f t="shared" si="8"/>
        <v>159.2739469178083</v>
      </c>
      <c r="F34" s="94">
        <f t="shared" si="8"/>
        <v>136.9483219178083</v>
      </c>
      <c r="G34" s="94">
        <f t="shared" si="8"/>
        <v>114.6226969178083</v>
      </c>
      <c r="H34" s="94">
        <f t="shared" si="8"/>
        <v>92.2970719178083</v>
      </c>
      <c r="I34" s="94">
        <f t="shared" si="8"/>
        <v>69.9714469178083</v>
      </c>
      <c r="J34" s="94">
        <f t="shared" si="8"/>
        <v>47.64582191780829</v>
      </c>
      <c r="K34" s="94">
        <f t="shared" si="8"/>
        <v>25.32019691780829</v>
      </c>
      <c r="L34" s="94">
        <f t="shared" si="8"/>
        <v>2.994571917808287</v>
      </c>
      <c r="M34" s="79"/>
      <c r="N34" s="79"/>
    </row>
    <row r="35" spans="1:14" ht="15.75">
      <c r="A35" s="44">
        <f t="shared" si="9"/>
        <v>112</v>
      </c>
      <c r="B35" s="44">
        <f t="shared" si="10"/>
        <v>115</v>
      </c>
      <c r="C35" s="44">
        <f t="shared" si="7"/>
        <v>3</v>
      </c>
      <c r="D35" s="116">
        <f t="shared" si="11"/>
        <v>13</v>
      </c>
      <c r="E35" s="94">
        <f t="shared" si="8"/>
        <v>167.82394691780826</v>
      </c>
      <c r="F35" s="94">
        <f t="shared" si="8"/>
        <v>145.49832191780825</v>
      </c>
      <c r="G35" s="94">
        <f t="shared" si="8"/>
        <v>123.17269691780825</v>
      </c>
      <c r="H35" s="94">
        <f t="shared" si="8"/>
        <v>100.84707191780825</v>
      </c>
      <c r="I35" s="94">
        <f t="shared" si="8"/>
        <v>78.52144691780825</v>
      </c>
      <c r="J35" s="94">
        <f t="shared" si="8"/>
        <v>56.195821917808246</v>
      </c>
      <c r="K35" s="94">
        <f t="shared" si="8"/>
        <v>33.870196917808244</v>
      </c>
      <c r="L35" s="94">
        <f t="shared" si="8"/>
        <v>11.544571917808241</v>
      </c>
      <c r="M35" s="79"/>
      <c r="N35" s="79"/>
    </row>
    <row r="36" spans="1:14" ht="15.75">
      <c r="A36" s="44">
        <f t="shared" si="9"/>
        <v>112</v>
      </c>
      <c r="B36" s="44">
        <f t="shared" si="10"/>
        <v>116</v>
      </c>
      <c r="C36" s="44">
        <f t="shared" si="7"/>
        <v>4</v>
      </c>
      <c r="D36" s="116">
        <f t="shared" si="11"/>
        <v>14</v>
      </c>
      <c r="E36" s="94">
        <f t="shared" si="8"/>
        <v>176.37394691780833</v>
      </c>
      <c r="F36" s="94">
        <f t="shared" si="8"/>
        <v>154.04832191780832</v>
      </c>
      <c r="G36" s="94">
        <f t="shared" si="8"/>
        <v>131.72269691780832</v>
      </c>
      <c r="H36" s="94">
        <f t="shared" si="8"/>
        <v>109.39707191780832</v>
      </c>
      <c r="I36" s="94">
        <f t="shared" si="8"/>
        <v>87.07144691780832</v>
      </c>
      <c r="J36" s="94">
        <f t="shared" si="8"/>
        <v>64.74582191780831</v>
      </c>
      <c r="K36" s="94">
        <f t="shared" si="8"/>
        <v>42.42019691780831</v>
      </c>
      <c r="L36" s="94">
        <f t="shared" si="8"/>
        <v>20.09457191780831</v>
      </c>
      <c r="M36" s="79"/>
      <c r="N36" s="79"/>
    </row>
    <row r="37" spans="1:14" ht="15.75">
      <c r="A37" s="96"/>
      <c r="B37" s="97"/>
      <c r="C37" s="97"/>
      <c r="D37" s="97"/>
      <c r="E37" s="97"/>
      <c r="F37" s="78"/>
      <c r="G37" s="78"/>
      <c r="H37" s="78"/>
      <c r="I37" s="78"/>
      <c r="J37" s="78"/>
      <c r="K37" s="78"/>
      <c r="L37" s="78"/>
      <c r="M37" s="79"/>
      <c r="N37" s="79"/>
    </row>
    <row r="38" spans="1:14" ht="15.75">
      <c r="A38" s="44" t="s">
        <v>286</v>
      </c>
      <c r="B38" s="43"/>
      <c r="C38" s="43"/>
      <c r="D38" s="43"/>
      <c r="E38" s="43"/>
      <c r="F38" s="79"/>
      <c r="G38" s="79"/>
      <c r="H38" s="79"/>
      <c r="I38" s="79"/>
      <c r="J38" s="79"/>
      <c r="K38" s="79"/>
      <c r="L38" s="79"/>
      <c r="M38" s="79"/>
      <c r="N38" s="79"/>
    </row>
    <row r="39" spans="1:14" ht="12.75">
      <c r="A39" s="57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ht="12.75">
      <c r="A40" s="57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2" spans="1:13" ht="12.75">
      <c r="A42" s="78" t="s">
        <v>115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26"/>
    </row>
    <row r="43" spans="1:21" s="1" customFormat="1" ht="18">
      <c r="A43" s="60" t="str">
        <f>A18</f>
        <v>Stocker</v>
      </c>
      <c r="B43" s="60" t="str">
        <f aca="true" t="shared" si="12" ref="B43:E44">B18</f>
        <v>Feeder</v>
      </c>
      <c r="C43" s="60" t="str">
        <f t="shared" si="12"/>
        <v>Price</v>
      </c>
      <c r="D43" s="60" t="s">
        <v>109</v>
      </c>
      <c r="E43" s="79" t="str">
        <f t="shared" si="12"/>
        <v> ------------------------ Feed Cost Per Ton -----------------------------------</v>
      </c>
      <c r="F43" s="79"/>
      <c r="G43" s="79"/>
      <c r="H43" s="79"/>
      <c r="I43" s="79"/>
      <c r="J43" s="79"/>
      <c r="K43" s="79"/>
      <c r="L43" s="79"/>
      <c r="M43"/>
      <c r="N43"/>
      <c r="O43"/>
      <c r="P43"/>
      <c r="Q43"/>
      <c r="R43"/>
      <c r="S43"/>
      <c r="T43"/>
      <c r="U43"/>
    </row>
    <row r="44" spans="1:21" s="1" customFormat="1" ht="18">
      <c r="A44" s="83" t="str">
        <f>A19</f>
        <v>Price</v>
      </c>
      <c r="B44" s="83" t="str">
        <f t="shared" si="12"/>
        <v>Price</v>
      </c>
      <c r="C44" s="83" t="str">
        <f t="shared" si="12"/>
        <v>Margin</v>
      </c>
      <c r="D44" s="83" t="s">
        <v>110</v>
      </c>
      <c r="E44" s="82">
        <f t="shared" si="12"/>
        <v>60</v>
      </c>
      <c r="F44" s="82">
        <f aca="true" t="shared" si="13" ref="F44:L44">F19</f>
        <v>80</v>
      </c>
      <c r="G44" s="82">
        <f t="shared" si="13"/>
        <v>100</v>
      </c>
      <c r="H44" s="82">
        <f t="shared" si="13"/>
        <v>120</v>
      </c>
      <c r="I44" s="82">
        <f t="shared" si="13"/>
        <v>140</v>
      </c>
      <c r="J44" s="82">
        <f t="shared" si="13"/>
        <v>160</v>
      </c>
      <c r="K44" s="82">
        <f t="shared" si="13"/>
        <v>180</v>
      </c>
      <c r="L44" s="82">
        <f t="shared" si="13"/>
        <v>200</v>
      </c>
      <c r="M44" s="26"/>
      <c r="N44"/>
      <c r="O44"/>
      <c r="P44"/>
      <c r="Q44"/>
      <c r="R44"/>
      <c r="S44"/>
      <c r="T44"/>
      <c r="U44"/>
    </row>
    <row r="45" spans="1:21" s="1" customFormat="1" ht="18">
      <c r="A45" s="115" t="str">
        <f>A20</f>
        <v>$/Cwt</v>
      </c>
      <c r="B45" s="115" t="str">
        <f>B20</f>
        <v>$/Cwt</v>
      </c>
      <c r="C45" s="115" t="str">
        <f>C20</f>
        <v>$/Cwt</v>
      </c>
      <c r="D45" s="115" t="str">
        <f>D20</f>
        <v>$/Cwt</v>
      </c>
      <c r="E45" s="119" t="s">
        <v>111</v>
      </c>
      <c r="F45" s="114"/>
      <c r="G45" s="114"/>
      <c r="H45" s="114"/>
      <c r="I45" s="114"/>
      <c r="J45" s="114"/>
      <c r="K45" s="114"/>
      <c r="L45" s="114"/>
      <c r="M45" s="73"/>
      <c r="N45"/>
      <c r="O45"/>
      <c r="P45"/>
      <c r="Q45"/>
      <c r="R45"/>
      <c r="S45"/>
      <c r="T45"/>
      <c r="U45"/>
    </row>
    <row r="46" spans="1:21" s="1" customFormat="1" ht="18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/>
      <c r="N46"/>
      <c r="O46"/>
      <c r="P46"/>
      <c r="Q46"/>
      <c r="R46"/>
      <c r="S46"/>
      <c r="T46"/>
      <c r="U46"/>
    </row>
    <row r="47" spans="1:21" s="1" customFormat="1" ht="18">
      <c r="A47" s="88">
        <f aca="true" t="shared" si="14" ref="A47:C61">A22</f>
        <v>112</v>
      </c>
      <c r="B47" s="88">
        <f t="shared" si="14"/>
        <v>102</v>
      </c>
      <c r="C47" s="88">
        <f t="shared" si="14"/>
        <v>-10</v>
      </c>
      <c r="D47" s="117">
        <f aca="true" t="shared" si="15" ref="D47:D61">($F$13*$B47-$F$8*$A47)/($F$13-$F$8)</f>
        <v>77.45454545454545</v>
      </c>
      <c r="E47" s="100">
        <f aca="true" t="shared" si="16" ref="E47:L61">($U$6+($A$7*($F$6+$F$11)/2)*(1+$A$8)*(E$19/2000)*$A$4)/(($F$13-$F$8)*0.01)</f>
        <v>54.5559810433098</v>
      </c>
      <c r="F47" s="100">
        <f t="shared" si="16"/>
        <v>63.57643558876435</v>
      </c>
      <c r="G47" s="100">
        <f t="shared" si="16"/>
        <v>72.5968901342189</v>
      </c>
      <c r="H47" s="100">
        <f t="shared" si="16"/>
        <v>81.61734467967344</v>
      </c>
      <c r="I47" s="100">
        <f t="shared" si="16"/>
        <v>90.63779922512799</v>
      </c>
      <c r="J47" s="100">
        <f t="shared" si="16"/>
        <v>99.65825377058253</v>
      </c>
      <c r="K47" s="100">
        <f t="shared" si="16"/>
        <v>108.67870831603707</v>
      </c>
      <c r="L47" s="100">
        <f t="shared" si="16"/>
        <v>117.69916286149163</v>
      </c>
      <c r="M47"/>
      <c r="N47"/>
      <c r="O47"/>
      <c r="P47"/>
      <c r="Q47"/>
      <c r="R47"/>
      <c r="S47"/>
      <c r="T47"/>
      <c r="U47"/>
    </row>
    <row r="48" spans="1:21" s="1" customFormat="1" ht="18">
      <c r="A48" s="88">
        <f t="shared" si="14"/>
        <v>112</v>
      </c>
      <c r="B48" s="88">
        <f t="shared" si="14"/>
        <v>103</v>
      </c>
      <c r="C48" s="88">
        <f t="shared" si="14"/>
        <v>-9</v>
      </c>
      <c r="D48" s="117">
        <f t="shared" si="15"/>
        <v>80.9090909090909</v>
      </c>
      <c r="E48" s="100">
        <f t="shared" si="16"/>
        <v>54.5559810433098</v>
      </c>
      <c r="F48" s="100">
        <f t="shared" si="16"/>
        <v>63.57643558876435</v>
      </c>
      <c r="G48" s="100">
        <f t="shared" si="16"/>
        <v>72.5968901342189</v>
      </c>
      <c r="H48" s="100">
        <f t="shared" si="16"/>
        <v>81.61734467967344</v>
      </c>
      <c r="I48" s="100">
        <f t="shared" si="16"/>
        <v>90.63779922512799</v>
      </c>
      <c r="J48" s="100">
        <f t="shared" si="16"/>
        <v>99.65825377058253</v>
      </c>
      <c r="K48" s="100">
        <f t="shared" si="16"/>
        <v>108.67870831603707</v>
      </c>
      <c r="L48" s="100">
        <f t="shared" si="16"/>
        <v>117.69916286149163</v>
      </c>
      <c r="M48"/>
      <c r="N48"/>
      <c r="O48"/>
      <c r="P48"/>
      <c r="Q48"/>
      <c r="R48"/>
      <c r="S48"/>
      <c r="T48"/>
      <c r="U48"/>
    </row>
    <row r="49" spans="1:21" s="1" customFormat="1" ht="18">
      <c r="A49" s="88">
        <f t="shared" si="14"/>
        <v>112</v>
      </c>
      <c r="B49" s="88">
        <f t="shared" si="14"/>
        <v>104</v>
      </c>
      <c r="C49" s="88">
        <f t="shared" si="14"/>
        <v>-8</v>
      </c>
      <c r="D49" s="117">
        <f t="shared" si="15"/>
        <v>84.36363636363636</v>
      </c>
      <c r="E49" s="100">
        <f t="shared" si="16"/>
        <v>54.5559810433098</v>
      </c>
      <c r="F49" s="100">
        <f t="shared" si="16"/>
        <v>63.57643558876435</v>
      </c>
      <c r="G49" s="100">
        <f t="shared" si="16"/>
        <v>72.5968901342189</v>
      </c>
      <c r="H49" s="100">
        <f t="shared" si="16"/>
        <v>81.61734467967344</v>
      </c>
      <c r="I49" s="100">
        <f t="shared" si="16"/>
        <v>90.63779922512799</v>
      </c>
      <c r="J49" s="100">
        <f t="shared" si="16"/>
        <v>99.65825377058253</v>
      </c>
      <c r="K49" s="100">
        <f t="shared" si="16"/>
        <v>108.67870831603707</v>
      </c>
      <c r="L49" s="100">
        <f t="shared" si="16"/>
        <v>117.69916286149163</v>
      </c>
      <c r="M49"/>
      <c r="N49"/>
      <c r="O49"/>
      <c r="P49"/>
      <c r="Q49"/>
      <c r="R49"/>
      <c r="S49"/>
      <c r="T49"/>
      <c r="U49"/>
    </row>
    <row r="50" spans="1:21" s="1" customFormat="1" ht="18">
      <c r="A50" s="88">
        <f t="shared" si="14"/>
        <v>112</v>
      </c>
      <c r="B50" s="88">
        <f t="shared" si="14"/>
        <v>105</v>
      </c>
      <c r="C50" s="88">
        <f t="shared" si="14"/>
        <v>-7</v>
      </c>
      <c r="D50" s="117">
        <f t="shared" si="15"/>
        <v>87.81818181818181</v>
      </c>
      <c r="E50" s="100">
        <f t="shared" si="16"/>
        <v>54.5559810433098</v>
      </c>
      <c r="F50" s="100">
        <f t="shared" si="16"/>
        <v>63.57643558876435</v>
      </c>
      <c r="G50" s="100">
        <f t="shared" si="16"/>
        <v>72.5968901342189</v>
      </c>
      <c r="H50" s="100">
        <f t="shared" si="16"/>
        <v>81.61734467967344</v>
      </c>
      <c r="I50" s="100">
        <f t="shared" si="16"/>
        <v>90.63779922512799</v>
      </c>
      <c r="J50" s="100">
        <f t="shared" si="16"/>
        <v>99.65825377058253</v>
      </c>
      <c r="K50" s="100">
        <f t="shared" si="16"/>
        <v>108.67870831603707</v>
      </c>
      <c r="L50" s="100">
        <f t="shared" si="16"/>
        <v>117.69916286149163</v>
      </c>
      <c r="M50"/>
      <c r="N50"/>
      <c r="O50"/>
      <c r="P50"/>
      <c r="Q50"/>
      <c r="R50"/>
      <c r="S50"/>
      <c r="T50"/>
      <c r="U50"/>
    </row>
    <row r="51" spans="1:21" s="1" customFormat="1" ht="18">
      <c r="A51" s="88">
        <f t="shared" si="14"/>
        <v>112</v>
      </c>
      <c r="B51" s="88">
        <f t="shared" si="14"/>
        <v>106</v>
      </c>
      <c r="C51" s="88">
        <f t="shared" si="14"/>
        <v>-6</v>
      </c>
      <c r="D51" s="117">
        <f t="shared" si="15"/>
        <v>91.27272727272727</v>
      </c>
      <c r="E51" s="100">
        <f t="shared" si="16"/>
        <v>54.5559810433098</v>
      </c>
      <c r="F51" s="100">
        <f t="shared" si="16"/>
        <v>63.57643558876435</v>
      </c>
      <c r="G51" s="100">
        <f t="shared" si="16"/>
        <v>72.5968901342189</v>
      </c>
      <c r="H51" s="100">
        <f t="shared" si="16"/>
        <v>81.61734467967344</v>
      </c>
      <c r="I51" s="100">
        <f t="shared" si="16"/>
        <v>90.63779922512799</v>
      </c>
      <c r="J51" s="100">
        <f t="shared" si="16"/>
        <v>99.65825377058253</v>
      </c>
      <c r="K51" s="100">
        <f t="shared" si="16"/>
        <v>108.67870831603707</v>
      </c>
      <c r="L51" s="100">
        <f t="shared" si="16"/>
        <v>117.69916286149163</v>
      </c>
      <c r="M51"/>
      <c r="N51"/>
      <c r="O51"/>
      <c r="P51"/>
      <c r="Q51"/>
      <c r="R51"/>
      <c r="S51"/>
      <c r="T51"/>
      <c r="U51"/>
    </row>
    <row r="52" spans="1:21" s="1" customFormat="1" ht="18">
      <c r="A52" s="88">
        <f t="shared" si="14"/>
        <v>112</v>
      </c>
      <c r="B52" s="88">
        <f t="shared" si="14"/>
        <v>107</v>
      </c>
      <c r="C52" s="88">
        <f t="shared" si="14"/>
        <v>-5</v>
      </c>
      <c r="D52" s="117">
        <f t="shared" si="15"/>
        <v>94.72727272727273</v>
      </c>
      <c r="E52" s="100">
        <f t="shared" si="16"/>
        <v>54.5559810433098</v>
      </c>
      <c r="F52" s="100">
        <f t="shared" si="16"/>
        <v>63.57643558876435</v>
      </c>
      <c r="G52" s="100">
        <f t="shared" si="16"/>
        <v>72.5968901342189</v>
      </c>
      <c r="H52" s="100">
        <f t="shared" si="16"/>
        <v>81.61734467967344</v>
      </c>
      <c r="I52" s="100">
        <f t="shared" si="16"/>
        <v>90.63779922512799</v>
      </c>
      <c r="J52" s="100">
        <f t="shared" si="16"/>
        <v>99.65825377058253</v>
      </c>
      <c r="K52" s="100">
        <f t="shared" si="16"/>
        <v>108.67870831603707</v>
      </c>
      <c r="L52" s="100">
        <f t="shared" si="16"/>
        <v>117.69916286149163</v>
      </c>
      <c r="M52"/>
      <c r="N52"/>
      <c r="O52"/>
      <c r="P52"/>
      <c r="Q52"/>
      <c r="R52"/>
      <c r="S52"/>
      <c r="T52"/>
      <c r="U52"/>
    </row>
    <row r="53" spans="1:21" s="1" customFormat="1" ht="18">
      <c r="A53" s="88">
        <f t="shared" si="14"/>
        <v>112</v>
      </c>
      <c r="B53" s="88">
        <f t="shared" si="14"/>
        <v>108</v>
      </c>
      <c r="C53" s="88">
        <f t="shared" si="14"/>
        <v>-4</v>
      </c>
      <c r="D53" s="117">
        <f t="shared" si="15"/>
        <v>98.18181818181819</v>
      </c>
      <c r="E53" s="100">
        <f t="shared" si="16"/>
        <v>54.5559810433098</v>
      </c>
      <c r="F53" s="100">
        <f t="shared" si="16"/>
        <v>63.57643558876435</v>
      </c>
      <c r="G53" s="100">
        <f t="shared" si="16"/>
        <v>72.5968901342189</v>
      </c>
      <c r="H53" s="100">
        <f t="shared" si="16"/>
        <v>81.61734467967344</v>
      </c>
      <c r="I53" s="100">
        <f t="shared" si="16"/>
        <v>90.63779922512799</v>
      </c>
      <c r="J53" s="100">
        <f t="shared" si="16"/>
        <v>99.65825377058253</v>
      </c>
      <c r="K53" s="100">
        <f t="shared" si="16"/>
        <v>108.67870831603707</v>
      </c>
      <c r="L53" s="100">
        <f t="shared" si="16"/>
        <v>117.69916286149163</v>
      </c>
      <c r="M53"/>
      <c r="N53"/>
      <c r="O53"/>
      <c r="P53"/>
      <c r="Q53"/>
      <c r="R53"/>
      <c r="S53"/>
      <c r="T53"/>
      <c r="U53"/>
    </row>
    <row r="54" spans="1:21" s="1" customFormat="1" ht="18">
      <c r="A54" s="88">
        <f t="shared" si="14"/>
        <v>112</v>
      </c>
      <c r="B54" s="88">
        <f t="shared" si="14"/>
        <v>109</v>
      </c>
      <c r="C54" s="88">
        <f t="shared" si="14"/>
        <v>-3</v>
      </c>
      <c r="D54" s="117">
        <f t="shared" si="15"/>
        <v>101.63636363636364</v>
      </c>
      <c r="E54" s="100">
        <f t="shared" si="16"/>
        <v>54.5559810433098</v>
      </c>
      <c r="F54" s="100">
        <f t="shared" si="16"/>
        <v>63.57643558876435</v>
      </c>
      <c r="G54" s="100">
        <f t="shared" si="16"/>
        <v>72.5968901342189</v>
      </c>
      <c r="H54" s="100">
        <f t="shared" si="16"/>
        <v>81.61734467967344</v>
      </c>
      <c r="I54" s="100">
        <f t="shared" si="16"/>
        <v>90.63779922512799</v>
      </c>
      <c r="J54" s="100">
        <f t="shared" si="16"/>
        <v>99.65825377058253</v>
      </c>
      <c r="K54" s="100">
        <f t="shared" si="16"/>
        <v>108.67870831603707</v>
      </c>
      <c r="L54" s="100">
        <f t="shared" si="16"/>
        <v>117.69916286149163</v>
      </c>
      <c r="M54"/>
      <c r="N54"/>
      <c r="O54"/>
      <c r="P54"/>
      <c r="Q54"/>
      <c r="R54"/>
      <c r="S54"/>
      <c r="T54"/>
      <c r="U54"/>
    </row>
    <row r="55" spans="1:21" s="1" customFormat="1" ht="18">
      <c r="A55" s="88">
        <f t="shared" si="14"/>
        <v>112</v>
      </c>
      <c r="B55" s="88">
        <f t="shared" si="14"/>
        <v>110</v>
      </c>
      <c r="C55" s="88">
        <f t="shared" si="14"/>
        <v>-2</v>
      </c>
      <c r="D55" s="117">
        <f t="shared" si="15"/>
        <v>105.0909090909091</v>
      </c>
      <c r="E55" s="100">
        <f t="shared" si="16"/>
        <v>54.5559810433098</v>
      </c>
      <c r="F55" s="100">
        <f t="shared" si="16"/>
        <v>63.57643558876435</v>
      </c>
      <c r="G55" s="100">
        <f t="shared" si="16"/>
        <v>72.5968901342189</v>
      </c>
      <c r="H55" s="100">
        <f t="shared" si="16"/>
        <v>81.61734467967344</v>
      </c>
      <c r="I55" s="100">
        <f t="shared" si="16"/>
        <v>90.63779922512799</v>
      </c>
      <c r="J55" s="100">
        <f t="shared" si="16"/>
        <v>99.65825377058253</v>
      </c>
      <c r="K55" s="100">
        <f t="shared" si="16"/>
        <v>108.67870831603707</v>
      </c>
      <c r="L55" s="100">
        <f t="shared" si="16"/>
        <v>117.69916286149163</v>
      </c>
      <c r="M55"/>
      <c r="N55"/>
      <c r="O55"/>
      <c r="P55"/>
      <c r="Q55"/>
      <c r="R55"/>
      <c r="S55"/>
      <c r="T55"/>
      <c r="U55"/>
    </row>
    <row r="56" spans="1:21" s="1" customFormat="1" ht="18">
      <c r="A56" s="88">
        <f t="shared" si="14"/>
        <v>112</v>
      </c>
      <c r="B56" s="88">
        <f t="shared" si="14"/>
        <v>111</v>
      </c>
      <c r="C56" s="88">
        <f t="shared" si="14"/>
        <v>-1</v>
      </c>
      <c r="D56" s="117">
        <f t="shared" si="15"/>
        <v>108.54545454545455</v>
      </c>
      <c r="E56" s="100">
        <f t="shared" si="16"/>
        <v>54.5559810433098</v>
      </c>
      <c r="F56" s="100">
        <f t="shared" si="16"/>
        <v>63.57643558876435</v>
      </c>
      <c r="G56" s="100">
        <f t="shared" si="16"/>
        <v>72.5968901342189</v>
      </c>
      <c r="H56" s="100">
        <f t="shared" si="16"/>
        <v>81.61734467967344</v>
      </c>
      <c r="I56" s="100">
        <f t="shared" si="16"/>
        <v>90.63779922512799</v>
      </c>
      <c r="J56" s="100">
        <f t="shared" si="16"/>
        <v>99.65825377058253</v>
      </c>
      <c r="K56" s="100">
        <f t="shared" si="16"/>
        <v>108.67870831603707</v>
      </c>
      <c r="L56" s="100">
        <f t="shared" si="16"/>
        <v>117.69916286149163</v>
      </c>
      <c r="M56"/>
      <c r="N56"/>
      <c r="O56"/>
      <c r="P56"/>
      <c r="Q56"/>
      <c r="R56"/>
      <c r="S56"/>
      <c r="T56"/>
      <c r="U56"/>
    </row>
    <row r="57" spans="1:21" s="1" customFormat="1" ht="18">
      <c r="A57" s="88">
        <f t="shared" si="14"/>
        <v>112</v>
      </c>
      <c r="B57" s="88">
        <f t="shared" si="14"/>
        <v>112</v>
      </c>
      <c r="C57" s="88">
        <f t="shared" si="14"/>
        <v>0</v>
      </c>
      <c r="D57" s="117">
        <f t="shared" si="15"/>
        <v>112</v>
      </c>
      <c r="E57" s="100">
        <f t="shared" si="16"/>
        <v>54.5559810433098</v>
      </c>
      <c r="F57" s="100">
        <f t="shared" si="16"/>
        <v>63.57643558876435</v>
      </c>
      <c r="G57" s="100">
        <f t="shared" si="16"/>
        <v>72.5968901342189</v>
      </c>
      <c r="H57" s="100">
        <f t="shared" si="16"/>
        <v>81.61734467967344</v>
      </c>
      <c r="I57" s="100">
        <f t="shared" si="16"/>
        <v>90.63779922512799</v>
      </c>
      <c r="J57" s="100">
        <f t="shared" si="16"/>
        <v>99.65825377058253</v>
      </c>
      <c r="K57" s="100">
        <f t="shared" si="16"/>
        <v>108.67870831603707</v>
      </c>
      <c r="L57" s="100">
        <f t="shared" si="16"/>
        <v>117.69916286149163</v>
      </c>
      <c r="M57"/>
      <c r="N57"/>
      <c r="O57"/>
      <c r="P57"/>
      <c r="Q57"/>
      <c r="R57"/>
      <c r="S57"/>
      <c r="T57"/>
      <c r="U57"/>
    </row>
    <row r="58" spans="1:21" s="1" customFormat="1" ht="18">
      <c r="A58" s="88">
        <f t="shared" si="14"/>
        <v>112</v>
      </c>
      <c r="B58" s="88">
        <f t="shared" si="14"/>
        <v>113</v>
      </c>
      <c r="C58" s="88">
        <f t="shared" si="14"/>
        <v>1</v>
      </c>
      <c r="D58" s="117">
        <f t="shared" si="15"/>
        <v>115.45454545454545</v>
      </c>
      <c r="E58" s="100">
        <f t="shared" si="16"/>
        <v>54.5559810433098</v>
      </c>
      <c r="F58" s="100">
        <f t="shared" si="16"/>
        <v>63.57643558876435</v>
      </c>
      <c r="G58" s="100">
        <f t="shared" si="16"/>
        <v>72.5968901342189</v>
      </c>
      <c r="H58" s="100">
        <f t="shared" si="16"/>
        <v>81.61734467967344</v>
      </c>
      <c r="I58" s="100">
        <f t="shared" si="16"/>
        <v>90.63779922512799</v>
      </c>
      <c r="J58" s="100">
        <f t="shared" si="16"/>
        <v>99.65825377058253</v>
      </c>
      <c r="K58" s="100">
        <f t="shared" si="16"/>
        <v>108.67870831603707</v>
      </c>
      <c r="L58" s="100">
        <f t="shared" si="16"/>
        <v>117.69916286149163</v>
      </c>
      <c r="M58"/>
      <c r="N58"/>
      <c r="O58"/>
      <c r="P58"/>
      <c r="Q58"/>
      <c r="R58"/>
      <c r="S58"/>
      <c r="T58"/>
      <c r="U58"/>
    </row>
    <row r="59" spans="1:21" s="1" customFormat="1" ht="18">
      <c r="A59" s="88">
        <f t="shared" si="14"/>
        <v>112</v>
      </c>
      <c r="B59" s="88">
        <f t="shared" si="14"/>
        <v>114</v>
      </c>
      <c r="C59" s="88">
        <f t="shared" si="14"/>
        <v>2</v>
      </c>
      <c r="D59" s="117">
        <f t="shared" si="15"/>
        <v>118.9090909090909</v>
      </c>
      <c r="E59" s="100">
        <f t="shared" si="16"/>
        <v>54.5559810433098</v>
      </c>
      <c r="F59" s="100">
        <f t="shared" si="16"/>
        <v>63.57643558876435</v>
      </c>
      <c r="G59" s="100">
        <f t="shared" si="16"/>
        <v>72.5968901342189</v>
      </c>
      <c r="H59" s="100">
        <f t="shared" si="16"/>
        <v>81.61734467967344</v>
      </c>
      <c r="I59" s="100">
        <f t="shared" si="16"/>
        <v>90.63779922512799</v>
      </c>
      <c r="J59" s="100">
        <f t="shared" si="16"/>
        <v>99.65825377058253</v>
      </c>
      <c r="K59" s="100">
        <f t="shared" si="16"/>
        <v>108.67870831603707</v>
      </c>
      <c r="L59" s="100">
        <f t="shared" si="16"/>
        <v>117.69916286149163</v>
      </c>
      <c r="M59"/>
      <c r="N59"/>
      <c r="O59"/>
      <c r="P59"/>
      <c r="Q59"/>
      <c r="R59"/>
      <c r="S59"/>
      <c r="T59"/>
      <c r="U59"/>
    </row>
    <row r="60" spans="1:21" s="1" customFormat="1" ht="18">
      <c r="A60" s="88">
        <f t="shared" si="14"/>
        <v>112</v>
      </c>
      <c r="B60" s="88">
        <f t="shared" si="14"/>
        <v>115</v>
      </c>
      <c r="C60" s="88">
        <f t="shared" si="14"/>
        <v>3</v>
      </c>
      <c r="D60" s="117">
        <f t="shared" si="15"/>
        <v>122.36363636363636</v>
      </c>
      <c r="E60" s="100">
        <f t="shared" si="16"/>
        <v>54.5559810433098</v>
      </c>
      <c r="F60" s="100">
        <f t="shared" si="16"/>
        <v>63.57643558876435</v>
      </c>
      <c r="G60" s="100">
        <f t="shared" si="16"/>
        <v>72.5968901342189</v>
      </c>
      <c r="H60" s="100">
        <f t="shared" si="16"/>
        <v>81.61734467967344</v>
      </c>
      <c r="I60" s="100">
        <f t="shared" si="16"/>
        <v>90.63779922512799</v>
      </c>
      <c r="J60" s="100">
        <f t="shared" si="16"/>
        <v>99.65825377058253</v>
      </c>
      <c r="K60" s="100">
        <f t="shared" si="16"/>
        <v>108.67870831603707</v>
      </c>
      <c r="L60" s="100">
        <f t="shared" si="16"/>
        <v>117.69916286149163</v>
      </c>
      <c r="M60"/>
      <c r="N60"/>
      <c r="O60"/>
      <c r="P60"/>
      <c r="Q60"/>
      <c r="R60"/>
      <c r="S60"/>
      <c r="T60"/>
      <c r="U60"/>
    </row>
    <row r="61" spans="1:21" s="1" customFormat="1" ht="18">
      <c r="A61" s="88">
        <f t="shared" si="14"/>
        <v>112</v>
      </c>
      <c r="B61" s="88">
        <f t="shared" si="14"/>
        <v>116</v>
      </c>
      <c r="C61" s="88">
        <f t="shared" si="14"/>
        <v>4</v>
      </c>
      <c r="D61" s="117">
        <f t="shared" si="15"/>
        <v>125.81818181818181</v>
      </c>
      <c r="E61" s="100">
        <f t="shared" si="16"/>
        <v>54.5559810433098</v>
      </c>
      <c r="F61" s="100">
        <f t="shared" si="16"/>
        <v>63.57643558876435</v>
      </c>
      <c r="G61" s="100">
        <f t="shared" si="16"/>
        <v>72.5968901342189</v>
      </c>
      <c r="H61" s="100">
        <f t="shared" si="16"/>
        <v>81.61734467967344</v>
      </c>
      <c r="I61" s="100">
        <f t="shared" si="16"/>
        <v>90.63779922512799</v>
      </c>
      <c r="J61" s="100">
        <f t="shared" si="16"/>
        <v>99.65825377058253</v>
      </c>
      <c r="K61" s="100">
        <f t="shared" si="16"/>
        <v>108.67870831603707</v>
      </c>
      <c r="L61" s="100">
        <f t="shared" si="16"/>
        <v>117.69916286149163</v>
      </c>
      <c r="M61"/>
      <c r="N61"/>
      <c r="O61"/>
      <c r="P61"/>
      <c r="Q61"/>
      <c r="R61"/>
      <c r="S61"/>
      <c r="T61"/>
      <c r="U61"/>
    </row>
    <row r="62" spans="1:13" s="1" customFormat="1" ht="18">
      <c r="A62" s="78"/>
      <c r="B62" s="25"/>
      <c r="C62" s="25"/>
      <c r="D62" s="118"/>
      <c r="E62" s="25"/>
      <c r="F62" s="25"/>
      <c r="G62" s="25"/>
      <c r="H62" s="25"/>
      <c r="I62" s="25"/>
      <c r="J62" s="25"/>
      <c r="K62" s="25"/>
      <c r="L62" s="25"/>
      <c r="M62" s="11"/>
    </row>
    <row r="63" spans="1:12" s="1" customFormat="1" ht="18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1:13" s="1" customFormat="1" ht="18">
      <c r="A64" s="78" t="s">
        <v>135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11"/>
    </row>
    <row r="65" spans="1:12" s="1" customFormat="1" ht="18">
      <c r="A65" s="60" t="str">
        <f aca="true" t="shared" si="17" ref="A65:D67">A43</f>
        <v>Stocker</v>
      </c>
      <c r="B65" s="60" t="str">
        <f t="shared" si="17"/>
        <v>Feeder</v>
      </c>
      <c r="C65" s="60" t="str">
        <f t="shared" si="17"/>
        <v>Price</v>
      </c>
      <c r="D65" s="60" t="str">
        <f t="shared" si="17"/>
        <v>Value of</v>
      </c>
      <c r="E65" s="80" t="s">
        <v>114</v>
      </c>
      <c r="F65" s="79"/>
      <c r="G65" s="79"/>
      <c r="H65" s="79"/>
      <c r="I65" s="79"/>
      <c r="J65" s="79"/>
      <c r="K65" s="79"/>
      <c r="L65" s="79"/>
    </row>
    <row r="66" spans="1:13" s="1" customFormat="1" ht="18">
      <c r="A66" s="83" t="str">
        <f t="shared" si="17"/>
        <v>Price</v>
      </c>
      <c r="B66" s="83" t="str">
        <f t="shared" si="17"/>
        <v>Price</v>
      </c>
      <c r="C66" s="83" t="str">
        <f t="shared" si="17"/>
        <v>Margin</v>
      </c>
      <c r="D66" s="83" t="str">
        <f t="shared" si="17"/>
        <v>Gain</v>
      </c>
      <c r="E66" s="82">
        <f aca="true" t="shared" si="18" ref="E66:L66">E44</f>
        <v>60</v>
      </c>
      <c r="F66" s="82">
        <f t="shared" si="18"/>
        <v>80</v>
      </c>
      <c r="G66" s="82">
        <f t="shared" si="18"/>
        <v>100</v>
      </c>
      <c r="H66" s="82">
        <f t="shared" si="18"/>
        <v>120</v>
      </c>
      <c r="I66" s="82">
        <f t="shared" si="18"/>
        <v>140</v>
      </c>
      <c r="J66" s="82">
        <f t="shared" si="18"/>
        <v>160</v>
      </c>
      <c r="K66" s="82">
        <f t="shared" si="18"/>
        <v>180</v>
      </c>
      <c r="L66" s="82">
        <f t="shared" si="18"/>
        <v>200</v>
      </c>
      <c r="M66" s="11"/>
    </row>
    <row r="67" spans="1:12" s="1" customFormat="1" ht="18">
      <c r="A67" s="60" t="str">
        <f t="shared" si="17"/>
        <v>$/Cwt</v>
      </c>
      <c r="B67" s="60" t="str">
        <f t="shared" si="17"/>
        <v>$/Cwt</v>
      </c>
      <c r="C67" s="60" t="str">
        <f t="shared" si="17"/>
        <v>$/Cwt</v>
      </c>
      <c r="D67" s="60" t="str">
        <f t="shared" si="17"/>
        <v>$/Cwt</v>
      </c>
      <c r="E67" s="80" t="s">
        <v>136</v>
      </c>
      <c r="F67" s="79"/>
      <c r="G67" s="79"/>
      <c r="H67" s="79"/>
      <c r="I67" s="79"/>
      <c r="J67" s="79"/>
      <c r="K67" s="79"/>
      <c r="L67" s="79"/>
    </row>
    <row r="68" spans="1:12" s="1" customFormat="1" ht="18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 s="1" customFormat="1" ht="18">
      <c r="A69" s="88">
        <f aca="true" t="shared" si="19" ref="A69:D83">A47</f>
        <v>112</v>
      </c>
      <c r="B69" s="88">
        <f t="shared" si="19"/>
        <v>102</v>
      </c>
      <c r="C69" s="88">
        <f t="shared" si="19"/>
        <v>-10</v>
      </c>
      <c r="D69" s="88">
        <f t="shared" si="19"/>
        <v>77.45454545454545</v>
      </c>
      <c r="E69" s="101">
        <f aca="true" t="shared" si="20" ref="E69:L83">($D69-E47)*(($F$13-$F$8)*0.01)</f>
        <v>56.673946917808244</v>
      </c>
      <c r="F69" s="101">
        <f t="shared" si="20"/>
        <v>34.348321917808235</v>
      </c>
      <c r="G69" s="101">
        <f t="shared" si="20"/>
        <v>12.022696917808231</v>
      </c>
      <c r="H69" s="101">
        <f t="shared" si="20"/>
        <v>-10.302928082191759</v>
      </c>
      <c r="I69" s="101">
        <f t="shared" si="20"/>
        <v>-32.628553082191786</v>
      </c>
      <c r="J69" s="101">
        <f t="shared" si="20"/>
        <v>-54.954178082191774</v>
      </c>
      <c r="K69" s="101">
        <f t="shared" si="20"/>
        <v>-77.27980308219176</v>
      </c>
      <c r="L69" s="101">
        <f t="shared" si="20"/>
        <v>-99.60542808219179</v>
      </c>
    </row>
    <row r="70" spans="1:12" s="1" customFormat="1" ht="18">
      <c r="A70" s="88">
        <f t="shared" si="19"/>
        <v>112</v>
      </c>
      <c r="B70" s="88">
        <f t="shared" si="19"/>
        <v>103</v>
      </c>
      <c r="C70" s="88">
        <f t="shared" si="19"/>
        <v>-9</v>
      </c>
      <c r="D70" s="88">
        <f t="shared" si="19"/>
        <v>80.9090909090909</v>
      </c>
      <c r="E70" s="101">
        <f t="shared" si="20"/>
        <v>65.22394691780825</v>
      </c>
      <c r="F70" s="101">
        <f t="shared" si="20"/>
        <v>42.89832191780823</v>
      </c>
      <c r="G70" s="101">
        <f t="shared" si="20"/>
        <v>20.572696917808226</v>
      </c>
      <c r="H70" s="101">
        <f t="shared" si="20"/>
        <v>-1.7529280821917623</v>
      </c>
      <c r="I70" s="101">
        <f t="shared" si="20"/>
        <v>-24.07855308219179</v>
      </c>
      <c r="J70" s="101">
        <f t="shared" si="20"/>
        <v>-46.40417808219178</v>
      </c>
      <c r="K70" s="101">
        <f t="shared" si="20"/>
        <v>-68.72980308219176</v>
      </c>
      <c r="L70" s="101">
        <f t="shared" si="20"/>
        <v>-91.0554280821918</v>
      </c>
    </row>
    <row r="71" spans="1:12" s="1" customFormat="1" ht="18">
      <c r="A71" s="88">
        <f t="shared" si="19"/>
        <v>112</v>
      </c>
      <c r="B71" s="88">
        <f t="shared" si="19"/>
        <v>104</v>
      </c>
      <c r="C71" s="88">
        <f t="shared" si="19"/>
        <v>-8</v>
      </c>
      <c r="D71" s="88">
        <f t="shared" si="19"/>
        <v>84.36363636363636</v>
      </c>
      <c r="E71" s="101">
        <f t="shared" si="20"/>
        <v>73.77394691780825</v>
      </c>
      <c r="F71" s="101">
        <f t="shared" si="20"/>
        <v>51.44832191780823</v>
      </c>
      <c r="G71" s="101">
        <f t="shared" si="20"/>
        <v>29.122696917808224</v>
      </c>
      <c r="H71" s="101">
        <f t="shared" si="20"/>
        <v>6.797071917808235</v>
      </c>
      <c r="I71" s="101">
        <f t="shared" si="20"/>
        <v>-15.52855308219179</v>
      </c>
      <c r="J71" s="101">
        <f t="shared" si="20"/>
        <v>-37.85417808219178</v>
      </c>
      <c r="K71" s="101">
        <f t="shared" si="20"/>
        <v>-60.17980308219177</v>
      </c>
      <c r="L71" s="101">
        <f t="shared" si="20"/>
        <v>-82.5054280821918</v>
      </c>
    </row>
    <row r="72" spans="1:12" s="1" customFormat="1" ht="18">
      <c r="A72" s="88">
        <f t="shared" si="19"/>
        <v>112</v>
      </c>
      <c r="B72" s="88">
        <f t="shared" si="19"/>
        <v>105</v>
      </c>
      <c r="C72" s="88">
        <f t="shared" si="19"/>
        <v>-7</v>
      </c>
      <c r="D72" s="88">
        <f t="shared" si="19"/>
        <v>87.81818181818181</v>
      </c>
      <c r="E72" s="101">
        <f t="shared" si="20"/>
        <v>82.32394691780824</v>
      </c>
      <c r="F72" s="101">
        <f t="shared" si="20"/>
        <v>59.99832191780823</v>
      </c>
      <c r="G72" s="101">
        <f t="shared" si="20"/>
        <v>37.672696917808224</v>
      </c>
      <c r="H72" s="101">
        <f t="shared" si="20"/>
        <v>15.347071917808233</v>
      </c>
      <c r="I72" s="101">
        <f t="shared" si="20"/>
        <v>-6.978553082191794</v>
      </c>
      <c r="J72" s="101">
        <f t="shared" si="20"/>
        <v>-29.304178082191783</v>
      </c>
      <c r="K72" s="101">
        <f t="shared" si="20"/>
        <v>-51.62980308219177</v>
      </c>
      <c r="L72" s="101">
        <f t="shared" si="20"/>
        <v>-73.9554280821918</v>
      </c>
    </row>
    <row r="73" spans="1:12" s="1" customFormat="1" ht="18">
      <c r="A73" s="88">
        <f t="shared" si="19"/>
        <v>112</v>
      </c>
      <c r="B73" s="88">
        <f t="shared" si="19"/>
        <v>106</v>
      </c>
      <c r="C73" s="88">
        <f t="shared" si="19"/>
        <v>-6</v>
      </c>
      <c r="D73" s="88">
        <f t="shared" si="19"/>
        <v>91.27272727272727</v>
      </c>
      <c r="E73" s="101">
        <f t="shared" si="20"/>
        <v>90.87394691780824</v>
      </c>
      <c r="F73" s="101">
        <f t="shared" si="20"/>
        <v>68.54832191780822</v>
      </c>
      <c r="G73" s="101">
        <f t="shared" si="20"/>
        <v>46.22269691780822</v>
      </c>
      <c r="H73" s="101">
        <f t="shared" si="20"/>
        <v>23.89707191780823</v>
      </c>
      <c r="I73" s="101">
        <f t="shared" si="20"/>
        <v>1.5714469178082038</v>
      </c>
      <c r="J73" s="101">
        <f t="shared" si="20"/>
        <v>-20.754178082191785</v>
      </c>
      <c r="K73" s="101">
        <f t="shared" si="20"/>
        <v>-43.07980308219177</v>
      </c>
      <c r="L73" s="101">
        <f t="shared" si="20"/>
        <v>-65.4054280821918</v>
      </c>
    </row>
    <row r="74" spans="1:12" s="1" customFormat="1" ht="18">
      <c r="A74" s="88">
        <f t="shared" si="19"/>
        <v>112</v>
      </c>
      <c r="B74" s="88">
        <f t="shared" si="19"/>
        <v>107</v>
      </c>
      <c r="C74" s="88">
        <f t="shared" si="19"/>
        <v>-5</v>
      </c>
      <c r="D74" s="88">
        <f t="shared" si="19"/>
        <v>94.72727272727273</v>
      </c>
      <c r="E74" s="101">
        <f t="shared" si="20"/>
        <v>99.42394691780827</v>
      </c>
      <c r="F74" s="101">
        <f t="shared" si="20"/>
        <v>77.09832191780826</v>
      </c>
      <c r="G74" s="101">
        <f t="shared" si="20"/>
        <v>54.772696917808254</v>
      </c>
      <c r="H74" s="101">
        <f t="shared" si="20"/>
        <v>32.44707191780826</v>
      </c>
      <c r="I74" s="101">
        <f t="shared" si="20"/>
        <v>10.121446917808235</v>
      </c>
      <c r="J74" s="101">
        <f t="shared" si="20"/>
        <v>-12.204178082191754</v>
      </c>
      <c r="K74" s="101">
        <f t="shared" si="20"/>
        <v>-34.52980308219174</v>
      </c>
      <c r="L74" s="101">
        <f t="shared" si="20"/>
        <v>-56.85542808219177</v>
      </c>
    </row>
    <row r="75" spans="1:12" s="1" customFormat="1" ht="18">
      <c r="A75" s="88">
        <f t="shared" si="19"/>
        <v>112</v>
      </c>
      <c r="B75" s="88">
        <f t="shared" si="19"/>
        <v>108</v>
      </c>
      <c r="C75" s="88">
        <f t="shared" si="19"/>
        <v>-4</v>
      </c>
      <c r="D75" s="88">
        <f t="shared" si="19"/>
        <v>98.18181818181819</v>
      </c>
      <c r="E75" s="101">
        <f t="shared" si="20"/>
        <v>107.97394691780826</v>
      </c>
      <c r="F75" s="101">
        <f t="shared" si="20"/>
        <v>85.64832191780826</v>
      </c>
      <c r="G75" s="101">
        <f t="shared" si="20"/>
        <v>63.32269691780825</v>
      </c>
      <c r="H75" s="101">
        <f t="shared" si="20"/>
        <v>40.997071917808256</v>
      </c>
      <c r="I75" s="101">
        <f t="shared" si="20"/>
        <v>18.671446917808233</v>
      </c>
      <c r="J75" s="101">
        <f t="shared" si="20"/>
        <v>-3.654178082191757</v>
      </c>
      <c r="K75" s="101">
        <f t="shared" si="20"/>
        <v>-25.979803082191747</v>
      </c>
      <c r="L75" s="101">
        <f t="shared" si="20"/>
        <v>-48.305428082191774</v>
      </c>
    </row>
    <row r="76" spans="1:12" s="1" customFormat="1" ht="18">
      <c r="A76" s="88">
        <f t="shared" si="19"/>
        <v>112</v>
      </c>
      <c r="B76" s="88">
        <f t="shared" si="19"/>
        <v>109</v>
      </c>
      <c r="C76" s="88">
        <f t="shared" si="19"/>
        <v>-3</v>
      </c>
      <c r="D76" s="88">
        <f t="shared" si="19"/>
        <v>101.63636363636364</v>
      </c>
      <c r="E76" s="101">
        <f t="shared" si="20"/>
        <v>116.52394691780826</v>
      </c>
      <c r="F76" s="101">
        <f t="shared" si="20"/>
        <v>94.19832191780826</v>
      </c>
      <c r="G76" s="101">
        <f t="shared" si="20"/>
        <v>71.87269691780824</v>
      </c>
      <c r="H76" s="101">
        <f t="shared" si="20"/>
        <v>49.54707191780825</v>
      </c>
      <c r="I76" s="101">
        <f t="shared" si="20"/>
        <v>27.22144691780823</v>
      </c>
      <c r="J76" s="101">
        <f t="shared" si="20"/>
        <v>4.895821917808241</v>
      </c>
      <c r="K76" s="101">
        <f t="shared" si="20"/>
        <v>-17.42980308219175</v>
      </c>
      <c r="L76" s="101">
        <f t="shared" si="20"/>
        <v>-39.75542808219178</v>
      </c>
    </row>
    <row r="77" spans="1:12" s="1" customFormat="1" ht="18">
      <c r="A77" s="88">
        <f t="shared" si="19"/>
        <v>112</v>
      </c>
      <c r="B77" s="88">
        <f t="shared" si="19"/>
        <v>110</v>
      </c>
      <c r="C77" s="88">
        <f t="shared" si="19"/>
        <v>-2</v>
      </c>
      <c r="D77" s="88">
        <f t="shared" si="19"/>
        <v>105.0909090909091</v>
      </c>
      <c r="E77" s="101">
        <f t="shared" si="20"/>
        <v>125.07394691780826</v>
      </c>
      <c r="F77" s="101">
        <f t="shared" si="20"/>
        <v>102.74832191780825</v>
      </c>
      <c r="G77" s="101">
        <f t="shared" si="20"/>
        <v>80.42269691780824</v>
      </c>
      <c r="H77" s="101">
        <f t="shared" si="20"/>
        <v>58.09707191780825</v>
      </c>
      <c r="I77" s="101">
        <f t="shared" si="20"/>
        <v>35.77144691780823</v>
      </c>
      <c r="J77" s="101">
        <f t="shared" si="20"/>
        <v>13.445821917808237</v>
      </c>
      <c r="K77" s="101">
        <f t="shared" si="20"/>
        <v>-8.879803082191753</v>
      </c>
      <c r="L77" s="101">
        <f t="shared" si="20"/>
        <v>-31.205428082191776</v>
      </c>
    </row>
    <row r="78" spans="1:12" s="1" customFormat="1" ht="18">
      <c r="A78" s="88">
        <f t="shared" si="19"/>
        <v>112</v>
      </c>
      <c r="B78" s="88">
        <f t="shared" si="19"/>
        <v>111</v>
      </c>
      <c r="C78" s="88">
        <f t="shared" si="19"/>
        <v>-1</v>
      </c>
      <c r="D78" s="88">
        <f t="shared" si="19"/>
        <v>108.54545454545455</v>
      </c>
      <c r="E78" s="101">
        <f t="shared" si="20"/>
        <v>133.62394691780827</v>
      </c>
      <c r="F78" s="101">
        <f t="shared" si="20"/>
        <v>111.29832191780825</v>
      </c>
      <c r="G78" s="101">
        <f t="shared" si="20"/>
        <v>88.97269691780824</v>
      </c>
      <c r="H78" s="101">
        <f t="shared" si="20"/>
        <v>66.64707191780825</v>
      </c>
      <c r="I78" s="101">
        <f t="shared" si="20"/>
        <v>44.321446917808224</v>
      </c>
      <c r="J78" s="101">
        <f t="shared" si="20"/>
        <v>21.995821917808236</v>
      </c>
      <c r="K78" s="101">
        <f t="shared" si="20"/>
        <v>-0.32980308219175536</v>
      </c>
      <c r="L78" s="101">
        <f t="shared" si="20"/>
        <v>-22.65542808219178</v>
      </c>
    </row>
    <row r="79" spans="1:12" s="1" customFormat="1" ht="18">
      <c r="A79" s="88">
        <f t="shared" si="19"/>
        <v>112</v>
      </c>
      <c r="B79" s="88">
        <f t="shared" si="19"/>
        <v>112</v>
      </c>
      <c r="C79" s="88">
        <f t="shared" si="19"/>
        <v>0</v>
      </c>
      <c r="D79" s="88">
        <f t="shared" si="19"/>
        <v>112</v>
      </c>
      <c r="E79" s="101">
        <f t="shared" si="20"/>
        <v>142.17394691780825</v>
      </c>
      <c r="F79" s="101">
        <f t="shared" si="20"/>
        <v>119.84832191780825</v>
      </c>
      <c r="G79" s="101">
        <f t="shared" si="20"/>
        <v>97.52269691780823</v>
      </c>
      <c r="H79" s="101">
        <f t="shared" si="20"/>
        <v>75.19707191780824</v>
      </c>
      <c r="I79" s="101">
        <f t="shared" si="20"/>
        <v>52.87144691780822</v>
      </c>
      <c r="J79" s="101">
        <f t="shared" si="20"/>
        <v>30.545821917808233</v>
      </c>
      <c r="K79" s="101">
        <f t="shared" si="20"/>
        <v>8.220196917808241</v>
      </c>
      <c r="L79" s="101">
        <f t="shared" si="20"/>
        <v>-14.105428082191784</v>
      </c>
    </row>
    <row r="80" spans="1:12" s="1" customFormat="1" ht="18">
      <c r="A80" s="88">
        <f t="shared" si="19"/>
        <v>112</v>
      </c>
      <c r="B80" s="88">
        <f t="shared" si="19"/>
        <v>113</v>
      </c>
      <c r="C80" s="88">
        <f t="shared" si="19"/>
        <v>1</v>
      </c>
      <c r="D80" s="88">
        <f t="shared" si="19"/>
        <v>115.45454545454545</v>
      </c>
      <c r="E80" s="101">
        <f t="shared" si="20"/>
        <v>150.72394691780826</v>
      </c>
      <c r="F80" s="101">
        <f t="shared" si="20"/>
        <v>128.39832191780823</v>
      </c>
      <c r="G80" s="101">
        <f t="shared" si="20"/>
        <v>106.07269691780823</v>
      </c>
      <c r="H80" s="101">
        <f t="shared" si="20"/>
        <v>83.74707191780824</v>
      </c>
      <c r="I80" s="101">
        <f t="shared" si="20"/>
        <v>61.42144691780822</v>
      </c>
      <c r="J80" s="101">
        <f t="shared" si="20"/>
        <v>39.09582191780823</v>
      </c>
      <c r="K80" s="101">
        <f t="shared" si="20"/>
        <v>16.77019691780824</v>
      </c>
      <c r="L80" s="101">
        <f t="shared" si="20"/>
        <v>-5.555428082191786</v>
      </c>
    </row>
    <row r="81" spans="1:12" s="1" customFormat="1" ht="18">
      <c r="A81" s="88">
        <f t="shared" si="19"/>
        <v>112</v>
      </c>
      <c r="B81" s="88">
        <f t="shared" si="19"/>
        <v>114</v>
      </c>
      <c r="C81" s="88">
        <f t="shared" si="19"/>
        <v>2</v>
      </c>
      <c r="D81" s="88">
        <f t="shared" si="19"/>
        <v>118.9090909090909</v>
      </c>
      <c r="E81" s="101">
        <f t="shared" si="20"/>
        <v>159.27394691780825</v>
      </c>
      <c r="F81" s="101">
        <f t="shared" si="20"/>
        <v>136.94832191780824</v>
      </c>
      <c r="G81" s="101">
        <f t="shared" si="20"/>
        <v>114.62269691780823</v>
      </c>
      <c r="H81" s="101">
        <f t="shared" si="20"/>
        <v>92.29707191780824</v>
      </c>
      <c r="I81" s="101">
        <f t="shared" si="20"/>
        <v>69.97144691780822</v>
      </c>
      <c r="J81" s="101">
        <f t="shared" si="20"/>
        <v>47.64582191780823</v>
      </c>
      <c r="K81" s="101">
        <f t="shared" si="20"/>
        <v>25.320196917808236</v>
      </c>
      <c r="L81" s="101">
        <f t="shared" si="20"/>
        <v>2.994571917808211</v>
      </c>
    </row>
    <row r="82" spans="1:12" s="1" customFormat="1" ht="18">
      <c r="A82" s="88">
        <f t="shared" si="19"/>
        <v>112</v>
      </c>
      <c r="B82" s="88">
        <f t="shared" si="19"/>
        <v>115</v>
      </c>
      <c r="C82" s="88">
        <f t="shared" si="19"/>
        <v>3</v>
      </c>
      <c r="D82" s="88">
        <f t="shared" si="19"/>
        <v>122.36363636363636</v>
      </c>
      <c r="E82" s="101">
        <f t="shared" si="20"/>
        <v>167.82394691780823</v>
      </c>
      <c r="F82" s="101">
        <f t="shared" si="20"/>
        <v>145.49832191780823</v>
      </c>
      <c r="G82" s="101">
        <f t="shared" si="20"/>
        <v>123.17269691780822</v>
      </c>
      <c r="H82" s="101">
        <f t="shared" si="20"/>
        <v>100.84707191780824</v>
      </c>
      <c r="I82" s="101">
        <f t="shared" si="20"/>
        <v>78.52144691780822</v>
      </c>
      <c r="J82" s="101">
        <f t="shared" si="20"/>
        <v>56.195821917808225</v>
      </c>
      <c r="K82" s="101">
        <f t="shared" si="20"/>
        <v>33.87019691780824</v>
      </c>
      <c r="L82" s="101">
        <f t="shared" si="20"/>
        <v>11.544571917808208</v>
      </c>
    </row>
    <row r="83" spans="1:12" s="1" customFormat="1" ht="18">
      <c r="A83" s="88">
        <f t="shared" si="19"/>
        <v>112</v>
      </c>
      <c r="B83" s="88">
        <f t="shared" si="19"/>
        <v>116</v>
      </c>
      <c r="C83" s="88">
        <f t="shared" si="19"/>
        <v>4</v>
      </c>
      <c r="D83" s="88">
        <f t="shared" si="19"/>
        <v>125.81818181818181</v>
      </c>
      <c r="E83" s="101">
        <f t="shared" si="20"/>
        <v>176.37394691780824</v>
      </c>
      <c r="F83" s="101">
        <f t="shared" si="20"/>
        <v>154.04832191780824</v>
      </c>
      <c r="G83" s="101">
        <f t="shared" si="20"/>
        <v>131.72269691780824</v>
      </c>
      <c r="H83" s="101">
        <f t="shared" si="20"/>
        <v>109.39707191780823</v>
      </c>
      <c r="I83" s="101">
        <f t="shared" si="20"/>
        <v>87.07144691780822</v>
      </c>
      <c r="J83" s="101">
        <f t="shared" si="20"/>
        <v>64.74582191780821</v>
      </c>
      <c r="K83" s="101">
        <f t="shared" si="20"/>
        <v>42.420196917808234</v>
      </c>
      <c r="L83" s="101">
        <f t="shared" si="20"/>
        <v>20.094571917808207</v>
      </c>
    </row>
    <row r="84" spans="1:13" s="1" customFormat="1" ht="18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11"/>
    </row>
    <row r="85" spans="1:12" s="1" customFormat="1" ht="18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1:12" s="1" customFormat="1" ht="18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1:12" s="1" customFormat="1" ht="18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1:12" s="1" customFormat="1" ht="18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1:12" s="1" customFormat="1" ht="18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1:12" s="1" customFormat="1" ht="18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1:12" s="1" customFormat="1" ht="18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1:12" s="1" customFormat="1" ht="18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1:12" s="1" customFormat="1" ht="18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="1" customFormat="1" ht="18"/>
    <row r="95" s="1" customFormat="1" ht="18"/>
    <row r="96" s="1" customFormat="1" ht="18"/>
    <row r="97" s="1" customFormat="1" ht="18"/>
    <row r="98" s="1" customFormat="1" ht="18"/>
    <row r="99" s="1" customFormat="1" ht="18"/>
    <row r="100" s="1" customFormat="1" ht="18"/>
    <row r="101" s="1" customFormat="1" ht="18"/>
    <row r="102" s="1" customFormat="1" ht="18"/>
    <row r="103" s="1" customFormat="1" ht="18"/>
    <row r="104" s="1" customFormat="1" ht="18"/>
    <row r="105" s="1" customFormat="1" ht="18"/>
    <row r="106" s="1" customFormat="1" ht="18"/>
    <row r="107" s="1" customFormat="1" ht="18"/>
    <row r="108" s="1" customFormat="1" ht="18"/>
    <row r="109" s="1" customFormat="1" ht="18"/>
    <row r="110" s="1" customFormat="1" ht="18"/>
    <row r="111" s="1" customFormat="1" ht="18"/>
    <row r="112" s="1" customFormat="1" ht="18"/>
    <row r="113" s="1" customFormat="1" ht="18"/>
    <row r="114" s="1" customFormat="1" ht="18"/>
    <row r="115" s="1" customFormat="1" ht="18"/>
    <row r="116" s="1" customFormat="1" ht="18"/>
    <row r="117" s="1" customFormat="1" ht="18"/>
    <row r="118" s="1" customFormat="1" ht="18"/>
    <row r="119" s="1" customFormat="1" ht="18"/>
    <row r="120" s="1" customFormat="1" ht="18"/>
    <row r="121" s="1" customFormat="1" ht="18"/>
    <row r="122" s="1" customFormat="1" ht="18"/>
    <row r="123" s="1" customFormat="1" ht="18"/>
    <row r="124" s="1" customFormat="1" ht="18"/>
    <row r="125" s="1" customFormat="1" ht="18"/>
    <row r="126" s="1" customFormat="1" ht="18"/>
    <row r="127" s="1" customFormat="1" ht="18"/>
    <row r="128" s="1" customFormat="1" ht="18"/>
    <row r="129" s="1" customFormat="1" ht="18"/>
    <row r="130" s="1" customFormat="1" ht="18"/>
    <row r="131" s="1" customFormat="1" ht="18"/>
    <row r="132" s="1" customFormat="1" ht="18"/>
    <row r="133" s="1" customFormat="1" ht="18"/>
    <row r="134" s="1" customFormat="1" ht="18"/>
    <row r="135" s="1" customFormat="1" ht="18"/>
    <row r="136" s="1" customFormat="1" ht="18"/>
    <row r="137" s="1" customFormat="1" ht="18"/>
    <row r="138" s="1" customFormat="1" ht="18"/>
    <row r="139" s="1" customFormat="1" ht="18"/>
    <row r="140" s="1" customFormat="1" ht="18"/>
    <row r="141" s="1" customFormat="1" ht="18"/>
    <row r="142" s="1" customFormat="1" ht="18"/>
    <row r="143" s="1" customFormat="1" ht="18"/>
    <row r="144" s="1" customFormat="1" ht="18"/>
    <row r="145" s="1" customFormat="1" ht="18"/>
    <row r="146" s="1" customFormat="1" ht="18"/>
    <row r="147" s="1" customFormat="1" ht="18"/>
    <row r="148" s="1" customFormat="1" ht="18"/>
    <row r="149" s="1" customFormat="1" ht="18"/>
    <row r="150" s="1" customFormat="1" ht="18"/>
    <row r="151" s="1" customFormat="1" ht="18"/>
    <row r="152" s="1" customFormat="1" ht="18"/>
    <row r="153" s="1" customFormat="1" ht="18"/>
    <row r="154" s="1" customFormat="1" ht="18"/>
    <row r="155" s="1" customFormat="1" ht="18"/>
    <row r="156" s="1" customFormat="1" ht="18"/>
    <row r="157" s="1" customFormat="1" ht="18"/>
    <row r="158" s="1" customFormat="1" ht="18"/>
    <row r="159" s="1" customFormat="1" ht="18"/>
    <row r="160" s="1" customFormat="1" ht="18"/>
    <row r="161" s="1" customFormat="1" ht="18"/>
    <row r="162" s="1" customFormat="1" ht="18"/>
    <row r="163" s="1" customFormat="1" ht="18"/>
    <row r="164" s="1" customFormat="1" ht="18"/>
    <row r="165" s="1" customFormat="1" ht="18"/>
    <row r="166" s="1" customFormat="1" ht="18"/>
    <row r="167" s="1" customFormat="1" ht="18"/>
    <row r="168" s="1" customFormat="1" ht="18"/>
    <row r="169" s="1" customFormat="1" ht="18"/>
    <row r="170" s="1" customFormat="1" ht="18"/>
    <row r="171" s="1" customFormat="1" ht="18"/>
    <row r="172" s="1" customFormat="1" ht="18"/>
    <row r="173" s="1" customFormat="1" ht="18"/>
    <row r="174" s="1" customFormat="1" ht="18"/>
    <row r="175" s="1" customFormat="1" ht="18"/>
    <row r="176" s="1" customFormat="1" ht="18"/>
    <row r="177" s="1" customFormat="1" ht="18"/>
    <row r="178" s="1" customFormat="1" ht="18"/>
    <row r="179" s="1" customFormat="1" ht="18"/>
    <row r="180" s="1" customFormat="1" ht="18"/>
    <row r="181" s="1" customFormat="1" ht="18"/>
    <row r="182" s="1" customFormat="1" ht="18"/>
    <row r="183" s="1" customFormat="1" ht="18"/>
    <row r="184" s="1" customFormat="1" ht="18"/>
    <row r="185" s="1" customFormat="1" ht="18"/>
    <row r="186" s="1" customFormat="1" ht="18"/>
    <row r="187" s="1" customFormat="1" ht="18"/>
    <row r="188" s="1" customFormat="1" ht="18"/>
    <row r="189" s="1" customFormat="1" ht="18"/>
    <row r="190" s="1" customFormat="1" ht="18"/>
    <row r="191" s="1" customFormat="1" ht="18"/>
    <row r="192" s="1" customFormat="1" ht="18"/>
    <row r="193" s="1" customFormat="1" ht="18"/>
    <row r="194" s="1" customFormat="1" ht="18"/>
    <row r="195" s="1" customFormat="1" ht="18"/>
    <row r="196" s="1" customFormat="1" ht="18"/>
    <row r="197" s="1" customFormat="1" ht="18"/>
    <row r="198" s="1" customFormat="1" ht="18"/>
    <row r="199" s="1" customFormat="1" ht="18"/>
    <row r="200" s="1" customFormat="1" ht="18"/>
    <row r="201" s="1" customFormat="1" ht="18"/>
    <row r="202" s="1" customFormat="1" ht="18"/>
    <row r="203" s="1" customFormat="1" ht="18"/>
    <row r="204" s="1" customFormat="1" ht="18"/>
    <row r="205" s="1" customFormat="1" ht="18"/>
    <row r="206" s="1" customFormat="1" ht="18"/>
    <row r="207" s="1" customFormat="1" ht="18"/>
    <row r="208" s="1" customFormat="1" ht="18"/>
    <row r="209" s="1" customFormat="1" ht="18"/>
    <row r="210" s="1" customFormat="1" ht="18"/>
    <row r="211" s="1" customFormat="1" ht="18"/>
    <row r="212" s="1" customFormat="1" ht="18"/>
    <row r="213" s="1" customFormat="1" ht="18"/>
    <row r="214" s="1" customFormat="1" ht="18"/>
    <row r="215" s="1" customFormat="1" ht="18"/>
    <row r="216" s="1" customFormat="1" ht="18"/>
    <row r="217" s="1" customFormat="1" ht="18"/>
    <row r="218" s="1" customFormat="1" ht="18"/>
    <row r="219" s="1" customFormat="1" ht="18"/>
  </sheetData>
  <printOptions/>
  <pageMargins left="0.75" right="0.75" top="1" bottom="1" header="0.5" footer="0.5"/>
  <pageSetup fitToHeight="1" fitToWidth="1" horizontalDpi="300" verticalDpi="300" orientation="portrait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7:H133"/>
  <sheetViews>
    <sheetView workbookViewId="0" topLeftCell="A99">
      <selection activeCell="O118" sqref="O118"/>
    </sheetView>
  </sheetViews>
  <sheetFormatPr defaultColWidth="9.140625" defaultRowHeight="12.75"/>
  <sheetData>
    <row r="7" ht="12.75">
      <c r="H7">
        <v>5</v>
      </c>
    </row>
    <row r="8" ht="12.75">
      <c r="H8" t="s">
        <v>215</v>
      </c>
    </row>
    <row r="9" spans="2:8" ht="12.75">
      <c r="B9" t="s">
        <v>216</v>
      </c>
      <c r="C9">
        <v>2003</v>
      </c>
      <c r="D9">
        <v>2004</v>
      </c>
      <c r="E9">
        <v>2005</v>
      </c>
      <c r="F9">
        <v>2006</v>
      </c>
      <c r="G9">
        <v>2007</v>
      </c>
      <c r="H9" t="s">
        <v>217</v>
      </c>
    </row>
    <row r="11" spans="2:8" ht="12.75">
      <c r="B11">
        <v>1</v>
      </c>
      <c r="C11">
        <v>105</v>
      </c>
      <c r="D11">
        <v>90.5</v>
      </c>
      <c r="E11">
        <v>75</v>
      </c>
      <c r="F11">
        <v>102</v>
      </c>
      <c r="G11">
        <v>135</v>
      </c>
      <c r="H11">
        <f aca="true" t="shared" si="0" ref="H11:H42">AVERAGE(C11:G11)</f>
        <v>101.5</v>
      </c>
    </row>
    <row r="12" spans="2:8" ht="12.75">
      <c r="B12">
        <f aca="true" t="shared" si="1" ref="B12:B43">B11+1</f>
        <v>2</v>
      </c>
      <c r="C12">
        <v>110</v>
      </c>
      <c r="D12">
        <v>89</v>
      </c>
      <c r="E12">
        <v>75</v>
      </c>
      <c r="F12">
        <v>100</v>
      </c>
      <c r="G12">
        <v>135</v>
      </c>
      <c r="H12">
        <f t="shared" si="0"/>
        <v>101.8</v>
      </c>
    </row>
    <row r="13" spans="2:8" ht="12.75">
      <c r="B13">
        <f t="shared" si="1"/>
        <v>3</v>
      </c>
      <c r="C13">
        <v>106.5</v>
      </c>
      <c r="D13">
        <v>90</v>
      </c>
      <c r="E13">
        <v>75</v>
      </c>
      <c r="F13">
        <v>100</v>
      </c>
      <c r="G13">
        <v>135</v>
      </c>
      <c r="H13">
        <f t="shared" si="0"/>
        <v>101.3</v>
      </c>
    </row>
    <row r="14" spans="2:8" ht="12.75">
      <c r="B14">
        <f t="shared" si="1"/>
        <v>4</v>
      </c>
      <c r="C14">
        <v>102.5</v>
      </c>
      <c r="D14">
        <v>90</v>
      </c>
      <c r="E14">
        <v>75</v>
      </c>
      <c r="F14">
        <v>95</v>
      </c>
      <c r="G14">
        <v>135</v>
      </c>
      <c r="H14">
        <f t="shared" si="0"/>
        <v>99.5</v>
      </c>
    </row>
    <row r="15" spans="2:8" ht="12.75">
      <c r="B15">
        <f t="shared" si="1"/>
        <v>5</v>
      </c>
      <c r="C15">
        <v>95</v>
      </c>
      <c r="D15">
        <v>90</v>
      </c>
      <c r="E15">
        <v>77.5</v>
      </c>
      <c r="F15">
        <v>95</v>
      </c>
      <c r="G15">
        <v>135</v>
      </c>
      <c r="H15">
        <f t="shared" si="0"/>
        <v>98.5</v>
      </c>
    </row>
    <row r="16" spans="2:8" ht="12.75">
      <c r="B16">
        <f t="shared" si="1"/>
        <v>6</v>
      </c>
      <c r="C16">
        <v>95</v>
      </c>
      <c r="D16">
        <v>91</v>
      </c>
      <c r="E16">
        <v>90</v>
      </c>
      <c r="F16">
        <v>93</v>
      </c>
      <c r="G16">
        <v>131</v>
      </c>
      <c r="H16">
        <f t="shared" si="0"/>
        <v>100</v>
      </c>
    </row>
    <row r="17" spans="2:8" ht="12.75">
      <c r="B17">
        <f t="shared" si="1"/>
        <v>7</v>
      </c>
      <c r="C17">
        <v>92</v>
      </c>
      <c r="D17">
        <v>90</v>
      </c>
      <c r="E17">
        <v>95</v>
      </c>
      <c r="F17">
        <v>93</v>
      </c>
      <c r="G17">
        <v>130</v>
      </c>
      <c r="H17">
        <f t="shared" si="0"/>
        <v>100</v>
      </c>
    </row>
    <row r="18" spans="2:8" ht="12.75">
      <c r="B18">
        <f t="shared" si="1"/>
        <v>8</v>
      </c>
      <c r="C18">
        <v>92</v>
      </c>
      <c r="D18">
        <v>89.5</v>
      </c>
      <c r="E18">
        <v>94.5</v>
      </c>
      <c r="F18">
        <v>93</v>
      </c>
      <c r="G18">
        <v>132</v>
      </c>
      <c r="H18">
        <f t="shared" si="0"/>
        <v>100.2</v>
      </c>
    </row>
    <row r="19" spans="2:8" ht="12.75">
      <c r="B19">
        <f t="shared" si="1"/>
        <v>9</v>
      </c>
      <c r="C19">
        <v>82.5</v>
      </c>
      <c r="D19">
        <v>87.5</v>
      </c>
      <c r="E19">
        <v>92</v>
      </c>
      <c r="F19">
        <v>92</v>
      </c>
      <c r="G19">
        <v>126</v>
      </c>
      <c r="H19">
        <f t="shared" si="0"/>
        <v>96</v>
      </c>
    </row>
    <row r="20" spans="2:8" ht="12.75">
      <c r="B20">
        <f t="shared" si="1"/>
        <v>10</v>
      </c>
      <c r="C20">
        <v>82.5</v>
      </c>
      <c r="D20">
        <v>89.5</v>
      </c>
      <c r="E20">
        <v>90</v>
      </c>
      <c r="F20">
        <v>90</v>
      </c>
      <c r="G20">
        <v>128</v>
      </c>
      <c r="H20">
        <f t="shared" si="0"/>
        <v>96</v>
      </c>
    </row>
    <row r="21" spans="2:8" ht="12.75">
      <c r="B21">
        <f t="shared" si="1"/>
        <v>11</v>
      </c>
      <c r="C21">
        <v>80.5</v>
      </c>
      <c r="D21">
        <v>87.5</v>
      </c>
      <c r="E21">
        <v>90</v>
      </c>
      <c r="F21">
        <v>90</v>
      </c>
      <c r="G21">
        <v>126</v>
      </c>
      <c r="H21">
        <f t="shared" si="0"/>
        <v>94.8</v>
      </c>
    </row>
    <row r="22" spans="2:8" ht="12.75">
      <c r="B22">
        <f t="shared" si="1"/>
        <v>12</v>
      </c>
      <c r="C22">
        <v>75.5</v>
      </c>
      <c r="D22">
        <v>87.5</v>
      </c>
      <c r="E22">
        <v>88</v>
      </c>
      <c r="F22">
        <v>90</v>
      </c>
      <c r="G22">
        <v>115</v>
      </c>
      <c r="H22">
        <f t="shared" si="0"/>
        <v>91.2</v>
      </c>
    </row>
    <row r="23" spans="2:8" ht="12.75">
      <c r="B23">
        <f t="shared" si="1"/>
        <v>13</v>
      </c>
      <c r="C23">
        <v>73.5</v>
      </c>
      <c r="D23">
        <v>88</v>
      </c>
      <c r="E23">
        <v>89</v>
      </c>
      <c r="F23">
        <v>88</v>
      </c>
      <c r="G23">
        <v>125</v>
      </c>
      <c r="H23">
        <f t="shared" si="0"/>
        <v>92.7</v>
      </c>
    </row>
    <row r="24" spans="2:8" ht="12.75">
      <c r="B24">
        <f t="shared" si="1"/>
        <v>14</v>
      </c>
      <c r="C24">
        <v>75</v>
      </c>
      <c r="D24">
        <v>86</v>
      </c>
      <c r="E24">
        <v>85.5</v>
      </c>
      <c r="F24">
        <v>88</v>
      </c>
      <c r="G24">
        <v>123</v>
      </c>
      <c r="H24">
        <f t="shared" si="0"/>
        <v>91.5</v>
      </c>
    </row>
    <row r="25" spans="2:8" ht="12.75">
      <c r="B25">
        <f t="shared" si="1"/>
        <v>15</v>
      </c>
      <c r="C25">
        <v>67.5</v>
      </c>
      <c r="D25">
        <v>82.5</v>
      </c>
      <c r="E25">
        <v>83.5</v>
      </c>
      <c r="F25">
        <v>87</v>
      </c>
      <c r="G25">
        <v>120</v>
      </c>
      <c r="H25">
        <f t="shared" si="0"/>
        <v>88.1</v>
      </c>
    </row>
    <row r="26" spans="2:8" ht="12.75">
      <c r="B26">
        <f t="shared" si="1"/>
        <v>16</v>
      </c>
      <c r="C26">
        <v>74</v>
      </c>
      <c r="D26">
        <v>82.5</v>
      </c>
      <c r="E26">
        <v>83.5</v>
      </c>
      <c r="F26">
        <v>87</v>
      </c>
      <c r="G26">
        <v>120</v>
      </c>
      <c r="H26">
        <f t="shared" si="0"/>
        <v>89.4</v>
      </c>
    </row>
    <row r="27" spans="2:8" ht="12.75">
      <c r="B27">
        <f t="shared" si="1"/>
        <v>17</v>
      </c>
      <c r="C27">
        <v>74</v>
      </c>
      <c r="D27">
        <v>85</v>
      </c>
      <c r="E27">
        <v>72.5</v>
      </c>
      <c r="F27">
        <v>85</v>
      </c>
      <c r="G27">
        <v>110</v>
      </c>
      <c r="H27">
        <f t="shared" si="0"/>
        <v>85.3</v>
      </c>
    </row>
    <row r="28" spans="2:8" ht="12.75">
      <c r="B28">
        <f t="shared" si="1"/>
        <v>18</v>
      </c>
      <c r="C28">
        <v>73.5</v>
      </c>
      <c r="D28">
        <v>92.5</v>
      </c>
      <c r="E28">
        <v>67</v>
      </c>
      <c r="F28">
        <v>80</v>
      </c>
      <c r="G28">
        <v>102</v>
      </c>
      <c r="H28">
        <f t="shared" si="0"/>
        <v>83</v>
      </c>
    </row>
    <row r="29" spans="2:8" ht="12.75">
      <c r="B29">
        <f t="shared" si="1"/>
        <v>19</v>
      </c>
      <c r="C29">
        <v>69</v>
      </c>
      <c r="D29">
        <v>90</v>
      </c>
      <c r="E29">
        <v>69</v>
      </c>
      <c r="F29">
        <v>82</v>
      </c>
      <c r="G29">
        <v>100</v>
      </c>
      <c r="H29">
        <f t="shared" si="0"/>
        <v>82</v>
      </c>
    </row>
    <row r="30" spans="2:8" ht="12.75">
      <c r="B30">
        <f t="shared" si="1"/>
        <v>20</v>
      </c>
      <c r="C30">
        <v>67.5</v>
      </c>
      <c r="D30">
        <v>92</v>
      </c>
      <c r="E30">
        <v>67.5</v>
      </c>
      <c r="F30">
        <v>80</v>
      </c>
      <c r="G30">
        <v>95</v>
      </c>
      <c r="H30">
        <f t="shared" si="0"/>
        <v>80.4</v>
      </c>
    </row>
    <row r="31" spans="2:8" ht="12.75">
      <c r="B31">
        <f t="shared" si="1"/>
        <v>21</v>
      </c>
      <c r="C31">
        <v>66.5</v>
      </c>
      <c r="D31">
        <v>92</v>
      </c>
      <c r="E31">
        <v>67.5</v>
      </c>
      <c r="F31">
        <v>75</v>
      </c>
      <c r="G31">
        <v>90</v>
      </c>
      <c r="H31">
        <f t="shared" si="0"/>
        <v>78.2</v>
      </c>
    </row>
    <row r="32" spans="2:8" ht="12.75">
      <c r="B32">
        <f t="shared" si="1"/>
        <v>22</v>
      </c>
      <c r="C32">
        <v>66.5</v>
      </c>
      <c r="D32">
        <v>90</v>
      </c>
      <c r="E32">
        <v>65</v>
      </c>
      <c r="F32">
        <v>72</v>
      </c>
      <c r="G32">
        <v>85</v>
      </c>
      <c r="H32">
        <f t="shared" si="0"/>
        <v>75.7</v>
      </c>
    </row>
    <row r="33" spans="2:8" ht="12.75">
      <c r="B33">
        <f t="shared" si="1"/>
        <v>23</v>
      </c>
      <c r="C33">
        <v>66.5</v>
      </c>
      <c r="D33">
        <v>91</v>
      </c>
      <c r="E33">
        <v>62.5</v>
      </c>
      <c r="F33">
        <v>72</v>
      </c>
      <c r="G33">
        <v>90</v>
      </c>
      <c r="H33">
        <f t="shared" si="0"/>
        <v>76.4</v>
      </c>
    </row>
    <row r="34" spans="2:8" ht="12.75">
      <c r="B34">
        <f t="shared" si="1"/>
        <v>24</v>
      </c>
      <c r="C34">
        <v>62.5</v>
      </c>
      <c r="D34">
        <v>90</v>
      </c>
      <c r="E34">
        <v>65</v>
      </c>
      <c r="F34">
        <v>72</v>
      </c>
      <c r="G34">
        <v>87</v>
      </c>
      <c r="H34">
        <f t="shared" si="0"/>
        <v>75.3</v>
      </c>
    </row>
    <row r="35" spans="2:8" ht="12.75">
      <c r="B35">
        <f t="shared" si="1"/>
        <v>25</v>
      </c>
      <c r="C35">
        <v>65</v>
      </c>
      <c r="D35">
        <v>90</v>
      </c>
      <c r="E35">
        <v>65</v>
      </c>
      <c r="F35">
        <v>72</v>
      </c>
      <c r="G35">
        <v>88</v>
      </c>
      <c r="H35">
        <f t="shared" si="0"/>
        <v>76</v>
      </c>
    </row>
    <row r="36" spans="2:8" ht="12.75">
      <c r="B36">
        <f t="shared" si="1"/>
        <v>26</v>
      </c>
      <c r="C36">
        <v>65</v>
      </c>
      <c r="D36">
        <v>92</v>
      </c>
      <c r="E36">
        <v>68</v>
      </c>
      <c r="F36">
        <v>72</v>
      </c>
      <c r="G36">
        <v>90</v>
      </c>
      <c r="H36">
        <f t="shared" si="0"/>
        <v>77.4</v>
      </c>
    </row>
    <row r="37" spans="2:8" ht="12.75">
      <c r="B37">
        <f t="shared" si="1"/>
        <v>27</v>
      </c>
      <c r="C37">
        <v>69</v>
      </c>
      <c r="D37">
        <v>92</v>
      </c>
      <c r="E37">
        <v>65</v>
      </c>
      <c r="F37">
        <v>71</v>
      </c>
      <c r="G37">
        <v>88</v>
      </c>
      <c r="H37">
        <f t="shared" si="0"/>
        <v>77</v>
      </c>
    </row>
    <row r="38" spans="2:8" ht="12.75">
      <c r="B38">
        <f t="shared" si="1"/>
        <v>28</v>
      </c>
      <c r="C38">
        <v>69</v>
      </c>
      <c r="D38">
        <v>90</v>
      </c>
      <c r="E38">
        <v>65</v>
      </c>
      <c r="F38">
        <v>72</v>
      </c>
      <c r="G38">
        <v>88</v>
      </c>
      <c r="H38">
        <f t="shared" si="0"/>
        <v>76.8</v>
      </c>
    </row>
    <row r="39" spans="2:8" ht="12.75">
      <c r="B39">
        <f t="shared" si="1"/>
        <v>29</v>
      </c>
      <c r="C39">
        <v>70</v>
      </c>
      <c r="D39">
        <v>90</v>
      </c>
      <c r="E39">
        <v>65</v>
      </c>
      <c r="F39">
        <v>75</v>
      </c>
      <c r="G39">
        <v>87</v>
      </c>
      <c r="H39">
        <f t="shared" si="0"/>
        <v>77.4</v>
      </c>
    </row>
    <row r="40" spans="2:8" ht="12.75">
      <c r="B40">
        <f t="shared" si="1"/>
        <v>30</v>
      </c>
      <c r="C40">
        <v>70</v>
      </c>
      <c r="D40">
        <v>89</v>
      </c>
      <c r="E40">
        <v>70</v>
      </c>
      <c r="F40">
        <v>90</v>
      </c>
      <c r="G40">
        <v>87</v>
      </c>
      <c r="H40">
        <f t="shared" si="0"/>
        <v>81.2</v>
      </c>
    </row>
    <row r="41" spans="2:8" ht="12.75">
      <c r="B41">
        <f t="shared" si="1"/>
        <v>31</v>
      </c>
      <c r="C41">
        <v>72.5</v>
      </c>
      <c r="D41">
        <v>85</v>
      </c>
      <c r="E41">
        <v>75</v>
      </c>
      <c r="F41">
        <v>88</v>
      </c>
      <c r="G41">
        <v>87</v>
      </c>
      <c r="H41">
        <f t="shared" si="0"/>
        <v>81.5</v>
      </c>
    </row>
    <row r="42" spans="2:8" ht="12.75">
      <c r="B42">
        <f t="shared" si="1"/>
        <v>32</v>
      </c>
      <c r="C42">
        <v>67.5</v>
      </c>
      <c r="D42">
        <v>83</v>
      </c>
      <c r="E42">
        <v>80</v>
      </c>
      <c r="F42">
        <v>90</v>
      </c>
      <c r="G42">
        <v>87</v>
      </c>
      <c r="H42">
        <f t="shared" si="0"/>
        <v>81.5</v>
      </c>
    </row>
    <row r="43" spans="2:8" ht="12.75">
      <c r="B43">
        <f t="shared" si="1"/>
        <v>33</v>
      </c>
      <c r="C43">
        <v>68.5</v>
      </c>
      <c r="D43">
        <v>82.5</v>
      </c>
      <c r="E43">
        <v>90</v>
      </c>
      <c r="F43">
        <v>87</v>
      </c>
      <c r="G43">
        <v>87</v>
      </c>
      <c r="H43">
        <f aca="true" t="shared" si="2" ref="H43:H63">AVERAGE(C43:G43)</f>
        <v>83</v>
      </c>
    </row>
    <row r="44" spans="2:8" ht="12.75">
      <c r="B44">
        <f aca="true" t="shared" si="3" ref="B44:B63">B43+1</f>
        <v>34</v>
      </c>
      <c r="C44">
        <v>71.5</v>
      </c>
      <c r="D44">
        <v>77.5</v>
      </c>
      <c r="E44">
        <v>87</v>
      </c>
      <c r="F44">
        <v>90</v>
      </c>
      <c r="G44">
        <v>93</v>
      </c>
      <c r="H44">
        <f t="shared" si="2"/>
        <v>83.8</v>
      </c>
    </row>
    <row r="45" spans="2:8" ht="12.75">
      <c r="B45">
        <f t="shared" si="3"/>
        <v>35</v>
      </c>
      <c r="C45">
        <v>75</v>
      </c>
      <c r="D45">
        <v>71.5</v>
      </c>
      <c r="E45">
        <v>85</v>
      </c>
      <c r="F45">
        <v>92</v>
      </c>
      <c r="G45">
        <v>100</v>
      </c>
      <c r="H45">
        <f t="shared" si="2"/>
        <v>84.7</v>
      </c>
    </row>
    <row r="46" spans="2:8" ht="12.75">
      <c r="B46">
        <f t="shared" si="3"/>
        <v>36</v>
      </c>
      <c r="C46">
        <v>75</v>
      </c>
      <c r="D46">
        <v>75</v>
      </c>
      <c r="E46">
        <v>85</v>
      </c>
      <c r="F46">
        <v>95</v>
      </c>
      <c r="G46">
        <v>112</v>
      </c>
      <c r="H46">
        <f t="shared" si="2"/>
        <v>88.4</v>
      </c>
    </row>
    <row r="47" spans="2:8" ht="12.75">
      <c r="B47">
        <f t="shared" si="3"/>
        <v>37</v>
      </c>
      <c r="C47">
        <v>76.5</v>
      </c>
      <c r="D47">
        <v>75</v>
      </c>
      <c r="E47">
        <v>90</v>
      </c>
      <c r="F47">
        <v>95</v>
      </c>
      <c r="G47">
        <v>112</v>
      </c>
      <c r="H47">
        <f t="shared" si="2"/>
        <v>89.7</v>
      </c>
    </row>
    <row r="48" spans="2:8" ht="12.75">
      <c r="B48">
        <f t="shared" si="3"/>
        <v>38</v>
      </c>
      <c r="C48">
        <v>77.5</v>
      </c>
      <c r="D48">
        <v>75</v>
      </c>
      <c r="E48">
        <v>90</v>
      </c>
      <c r="F48">
        <v>92</v>
      </c>
      <c r="G48">
        <v>120</v>
      </c>
      <c r="H48">
        <f t="shared" si="2"/>
        <v>90.9</v>
      </c>
    </row>
    <row r="49" spans="2:8" ht="12.75">
      <c r="B49">
        <f t="shared" si="3"/>
        <v>39</v>
      </c>
      <c r="C49">
        <v>76.5</v>
      </c>
      <c r="D49">
        <v>75</v>
      </c>
      <c r="E49">
        <v>90</v>
      </c>
      <c r="F49">
        <v>95</v>
      </c>
      <c r="G49">
        <v>125</v>
      </c>
      <c r="H49">
        <f t="shared" si="2"/>
        <v>92.3</v>
      </c>
    </row>
    <row r="50" spans="2:8" ht="12.75">
      <c r="B50">
        <f t="shared" si="3"/>
        <v>40</v>
      </c>
      <c r="C50">
        <v>77.5</v>
      </c>
      <c r="D50">
        <v>75</v>
      </c>
      <c r="E50">
        <v>90</v>
      </c>
      <c r="F50">
        <v>95</v>
      </c>
      <c r="G50">
        <v>130</v>
      </c>
      <c r="H50">
        <f t="shared" si="2"/>
        <v>93.5</v>
      </c>
    </row>
    <row r="51" spans="2:8" ht="12.75">
      <c r="B51">
        <f t="shared" si="3"/>
        <v>41</v>
      </c>
      <c r="C51">
        <v>77</v>
      </c>
      <c r="D51">
        <v>75</v>
      </c>
      <c r="E51">
        <v>90</v>
      </c>
      <c r="F51">
        <v>104</v>
      </c>
      <c r="G51">
        <v>130</v>
      </c>
      <c r="H51">
        <f t="shared" si="2"/>
        <v>95.2</v>
      </c>
    </row>
    <row r="52" spans="2:8" ht="12.75">
      <c r="B52">
        <f t="shared" si="3"/>
        <v>42</v>
      </c>
      <c r="C52">
        <v>79.5</v>
      </c>
      <c r="D52">
        <v>74</v>
      </c>
      <c r="E52">
        <v>90</v>
      </c>
      <c r="F52">
        <v>100</v>
      </c>
      <c r="G52">
        <v>131</v>
      </c>
      <c r="H52">
        <f t="shared" si="2"/>
        <v>94.9</v>
      </c>
    </row>
    <row r="53" spans="2:8" ht="12.75">
      <c r="B53">
        <f t="shared" si="3"/>
        <v>43</v>
      </c>
      <c r="C53">
        <v>93.5</v>
      </c>
      <c r="D53">
        <v>74</v>
      </c>
      <c r="E53">
        <v>92</v>
      </c>
      <c r="F53">
        <v>100</v>
      </c>
      <c r="G53">
        <v>132</v>
      </c>
      <c r="H53">
        <f t="shared" si="2"/>
        <v>98.3</v>
      </c>
    </row>
    <row r="54" spans="2:8" ht="12.75">
      <c r="B54">
        <f t="shared" si="3"/>
        <v>44</v>
      </c>
      <c r="C54">
        <v>95</v>
      </c>
      <c r="D54">
        <v>73.5</v>
      </c>
      <c r="E54">
        <v>92</v>
      </c>
      <c r="F54">
        <v>98</v>
      </c>
      <c r="G54">
        <v>133</v>
      </c>
      <c r="H54">
        <f t="shared" si="2"/>
        <v>98.3</v>
      </c>
    </row>
    <row r="55" spans="2:8" ht="12.75">
      <c r="B55">
        <f t="shared" si="3"/>
        <v>45</v>
      </c>
      <c r="C55">
        <v>95</v>
      </c>
      <c r="D55">
        <v>72.5</v>
      </c>
      <c r="E55">
        <v>92</v>
      </c>
      <c r="F55">
        <v>105</v>
      </c>
      <c r="G55">
        <v>131</v>
      </c>
      <c r="H55">
        <f t="shared" si="2"/>
        <v>99.1</v>
      </c>
    </row>
    <row r="56" spans="2:8" ht="12.75">
      <c r="B56">
        <f t="shared" si="3"/>
        <v>46</v>
      </c>
      <c r="C56">
        <v>95</v>
      </c>
      <c r="D56">
        <v>69.5</v>
      </c>
      <c r="E56">
        <v>90</v>
      </c>
      <c r="F56">
        <v>108</v>
      </c>
      <c r="G56">
        <v>132</v>
      </c>
      <c r="H56">
        <f t="shared" si="2"/>
        <v>98.9</v>
      </c>
    </row>
    <row r="57" spans="2:8" ht="12.75">
      <c r="B57">
        <f t="shared" si="3"/>
        <v>47</v>
      </c>
      <c r="C57">
        <v>92.5</v>
      </c>
      <c r="D57">
        <v>69.5</v>
      </c>
      <c r="E57">
        <v>90</v>
      </c>
      <c r="F57">
        <v>108</v>
      </c>
      <c r="G57">
        <v>132</v>
      </c>
      <c r="H57">
        <f t="shared" si="2"/>
        <v>98.4</v>
      </c>
    </row>
    <row r="58" spans="2:8" ht="12.75">
      <c r="B58">
        <f t="shared" si="3"/>
        <v>48</v>
      </c>
      <c r="C58">
        <v>91</v>
      </c>
      <c r="D58">
        <v>73</v>
      </c>
      <c r="E58">
        <v>92</v>
      </c>
      <c r="F58">
        <v>110</v>
      </c>
      <c r="G58">
        <v>132</v>
      </c>
      <c r="H58">
        <f t="shared" si="2"/>
        <v>99.6</v>
      </c>
    </row>
    <row r="59" spans="2:8" ht="12.75">
      <c r="B59">
        <f t="shared" si="3"/>
        <v>49</v>
      </c>
      <c r="C59">
        <v>89</v>
      </c>
      <c r="D59">
        <v>73</v>
      </c>
      <c r="E59">
        <v>90</v>
      </c>
      <c r="F59">
        <v>122</v>
      </c>
      <c r="G59">
        <v>133</v>
      </c>
      <c r="H59">
        <f t="shared" si="2"/>
        <v>101.4</v>
      </c>
    </row>
    <row r="60" spans="2:8" ht="12.75">
      <c r="B60">
        <f t="shared" si="3"/>
        <v>50</v>
      </c>
      <c r="C60">
        <v>88</v>
      </c>
      <c r="D60">
        <v>75.5</v>
      </c>
      <c r="E60">
        <v>70</v>
      </c>
      <c r="F60">
        <v>130</v>
      </c>
      <c r="G60">
        <v>140</v>
      </c>
      <c r="H60">
        <f t="shared" si="2"/>
        <v>100.7</v>
      </c>
    </row>
    <row r="61" spans="2:8" ht="12.75">
      <c r="B61">
        <f t="shared" si="3"/>
        <v>51</v>
      </c>
      <c r="C61">
        <v>91</v>
      </c>
      <c r="D61">
        <v>74</v>
      </c>
      <c r="E61">
        <v>95</v>
      </c>
      <c r="F61">
        <v>132</v>
      </c>
      <c r="G61">
        <v>142</v>
      </c>
      <c r="H61">
        <f t="shared" si="2"/>
        <v>106.8</v>
      </c>
    </row>
    <row r="62" spans="2:8" ht="12.75">
      <c r="B62">
        <f t="shared" si="3"/>
        <v>52</v>
      </c>
      <c r="C62">
        <v>91</v>
      </c>
      <c r="D62">
        <v>75.5</v>
      </c>
      <c r="E62">
        <v>97</v>
      </c>
      <c r="F62">
        <v>135</v>
      </c>
      <c r="H62">
        <f t="shared" si="2"/>
        <v>99.625</v>
      </c>
    </row>
    <row r="63" spans="2:8" ht="12.75">
      <c r="B63">
        <f t="shared" si="3"/>
        <v>53</v>
      </c>
      <c r="E63">
        <v>105</v>
      </c>
      <c r="H63">
        <f t="shared" si="2"/>
        <v>105</v>
      </c>
    </row>
    <row r="65" spans="2:8" ht="12.75">
      <c r="B65" t="s">
        <v>217</v>
      </c>
      <c r="C65" s="21">
        <f aca="true" t="shared" si="4" ref="C65:H65">AVERAGE(C11:C63)</f>
        <v>80.35576923076923</v>
      </c>
      <c r="D65" s="21">
        <f t="shared" si="4"/>
        <v>83.26923076923077</v>
      </c>
      <c r="E65" s="21">
        <f t="shared" si="4"/>
        <v>81.87735849056604</v>
      </c>
      <c r="F65" s="21">
        <f t="shared" si="4"/>
        <v>92.76923076923077</v>
      </c>
      <c r="G65" s="21">
        <f t="shared" si="4"/>
        <v>114.88235294117646</v>
      </c>
      <c r="H65" s="21">
        <f t="shared" si="4"/>
        <v>90.75707547169813</v>
      </c>
    </row>
    <row r="66" spans="3:8" ht="12.75">
      <c r="C66" s="21"/>
      <c r="D66" s="21"/>
      <c r="E66" s="21"/>
      <c r="F66" s="21"/>
      <c r="G66" s="21"/>
      <c r="H66" s="21"/>
    </row>
    <row r="67" spans="3:8" ht="12.75">
      <c r="C67" s="21"/>
      <c r="D67" s="21"/>
      <c r="E67" s="21"/>
      <c r="F67" s="21"/>
      <c r="G67" s="21"/>
      <c r="H67" s="21"/>
    </row>
    <row r="133" ht="15.75">
      <c r="C133" s="43" t="s">
        <v>218</v>
      </c>
    </row>
  </sheetData>
  <printOptions/>
  <pageMargins left="0.75" right="0.75" top="1" bottom="1" header="0.5" footer="0.5"/>
  <pageSetup fitToHeight="1" fitToWidth="1" horizontalDpi="600" verticalDpi="600" orientation="portrait" scale="6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5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</cols>
  <sheetData>
    <row r="2" ht="45">
      <c r="H2" s="206"/>
    </row>
    <row r="3" spans="1:2" s="79" customFormat="1" ht="33.75">
      <c r="A3" s="193" t="s">
        <v>202</v>
      </c>
      <c r="B3" s="193"/>
    </row>
    <row r="6" s="24" customFormat="1" ht="26.25">
      <c r="B6" s="24" t="s">
        <v>194</v>
      </c>
    </row>
    <row r="7" s="24" customFormat="1" ht="26.25"/>
    <row r="8" spans="2:15" s="24" customFormat="1" ht="26.25">
      <c r="B8" s="197" t="s">
        <v>195</v>
      </c>
      <c r="C8" s="298" t="s">
        <v>192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9" spans="2:15" s="24" customFormat="1" ht="26.25">
      <c r="B9" s="1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</row>
    <row r="10" spans="2:15" s="24" customFormat="1" ht="26.25">
      <c r="B10" s="197"/>
      <c r="C10" s="198"/>
      <c r="D10" s="204" t="s">
        <v>200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198"/>
    </row>
    <row r="11" spans="2:17" s="24" customFormat="1" ht="26.25">
      <c r="B11" s="197"/>
      <c r="C11" s="198"/>
      <c r="D11" s="267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6"/>
      <c r="Q11" s="266"/>
    </row>
    <row r="12" spans="2:15" s="24" customFormat="1" ht="26.25">
      <c r="B12" s="197"/>
      <c r="C12" s="195"/>
      <c r="D12" s="203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</row>
    <row r="13" spans="2:15" s="24" customFormat="1" ht="26.25">
      <c r="B13" s="197" t="s">
        <v>196</v>
      </c>
      <c r="C13" s="299" t="s">
        <v>201</v>
      </c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</row>
    <row r="14" spans="2:15" s="24" customFormat="1" ht="26.25">
      <c r="B14" s="197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</row>
    <row r="15" spans="2:15" s="24" customFormat="1" ht="26.25">
      <c r="B15" s="197"/>
      <c r="C15" s="199"/>
      <c r="D15" s="201" t="s">
        <v>82</v>
      </c>
      <c r="E15" s="202"/>
      <c r="F15" s="202"/>
      <c r="G15" s="202"/>
      <c r="H15" s="265"/>
      <c r="I15" s="265"/>
      <c r="J15" s="201" t="s">
        <v>240</v>
      </c>
      <c r="K15" s="202"/>
      <c r="L15" s="202"/>
      <c r="M15" s="202"/>
      <c r="N15" s="199"/>
      <c r="O15" s="199"/>
    </row>
    <row r="16" spans="2:15" s="24" customFormat="1" ht="26.25">
      <c r="B16" s="197"/>
      <c r="C16" s="199"/>
      <c r="D16" s="201" t="s">
        <v>199</v>
      </c>
      <c r="E16" s="202"/>
      <c r="F16" s="202"/>
      <c r="G16" s="202"/>
      <c r="H16" s="265"/>
      <c r="I16" s="265"/>
      <c r="J16" s="201" t="s">
        <v>248</v>
      </c>
      <c r="K16" s="202"/>
      <c r="L16" s="202"/>
      <c r="M16" s="202"/>
      <c r="N16" s="199"/>
      <c r="O16" s="199"/>
    </row>
    <row r="17" spans="2:15" s="24" customFormat="1" ht="26.25">
      <c r="B17" s="197"/>
      <c r="C17" s="199"/>
      <c r="D17" s="201" t="s">
        <v>241</v>
      </c>
      <c r="E17" s="202"/>
      <c r="F17" s="202"/>
      <c r="G17" s="202"/>
      <c r="H17" s="265"/>
      <c r="I17" s="265"/>
      <c r="J17" s="201" t="s">
        <v>247</v>
      </c>
      <c r="K17" s="202"/>
      <c r="L17" s="202"/>
      <c r="M17" s="202"/>
      <c r="N17" s="199"/>
      <c r="O17" s="199"/>
    </row>
    <row r="18" spans="2:15" s="24" customFormat="1" ht="26.25">
      <c r="B18" s="197"/>
      <c r="C18" s="199"/>
      <c r="D18" s="201" t="s">
        <v>242</v>
      </c>
      <c r="E18" s="202"/>
      <c r="F18" s="202"/>
      <c r="G18" s="202"/>
      <c r="H18" s="265"/>
      <c r="I18" s="265"/>
      <c r="J18" s="201" t="s">
        <v>246</v>
      </c>
      <c r="K18" s="202"/>
      <c r="L18" s="202"/>
      <c r="M18" s="202"/>
      <c r="N18" s="199"/>
      <c r="O18" s="199"/>
    </row>
    <row r="19" spans="2:15" s="24" customFormat="1" ht="26.25">
      <c r="B19" s="197"/>
      <c r="C19" s="199"/>
      <c r="D19" s="201" t="s">
        <v>120</v>
      </c>
      <c r="E19" s="202"/>
      <c r="F19" s="202"/>
      <c r="G19" s="202"/>
      <c r="H19" s="265"/>
      <c r="I19" s="265"/>
      <c r="J19" s="201" t="s">
        <v>245</v>
      </c>
      <c r="K19" s="202"/>
      <c r="L19" s="202"/>
      <c r="M19" s="202"/>
      <c r="N19" s="199"/>
      <c r="O19" s="199"/>
    </row>
    <row r="20" spans="2:15" s="24" customFormat="1" ht="26.25">
      <c r="B20" s="197"/>
      <c r="C20" s="199"/>
      <c r="D20" s="201" t="s">
        <v>243</v>
      </c>
      <c r="E20" s="202"/>
      <c r="F20" s="202"/>
      <c r="G20" s="202"/>
      <c r="H20" s="265"/>
      <c r="I20" s="265"/>
      <c r="J20" s="201" t="s">
        <v>244</v>
      </c>
      <c r="K20" s="202"/>
      <c r="L20" s="202"/>
      <c r="M20" s="202"/>
      <c r="N20" s="199"/>
      <c r="O20" s="199"/>
    </row>
    <row r="21" spans="2:15" s="24" customFormat="1" ht="26.25">
      <c r="B21" s="197"/>
      <c r="C21" s="199"/>
      <c r="D21" s="266"/>
      <c r="E21" s="265"/>
      <c r="F21" s="265"/>
      <c r="G21" s="265"/>
      <c r="H21" s="265"/>
      <c r="I21" s="265"/>
      <c r="K21" s="265"/>
      <c r="L21" s="265"/>
      <c r="M21" s="199"/>
      <c r="N21" s="199"/>
      <c r="O21" s="199"/>
    </row>
    <row r="22" spans="2:4" s="24" customFormat="1" ht="26.25">
      <c r="B22" s="197"/>
      <c r="D22" s="200"/>
    </row>
    <row r="23" spans="2:15" s="24" customFormat="1" ht="26.25">
      <c r="B23" s="197" t="s">
        <v>197</v>
      </c>
      <c r="C23" s="298" t="s">
        <v>189</v>
      </c>
      <c r="D23" s="298"/>
      <c r="E23" s="298"/>
      <c r="F23" s="300"/>
      <c r="G23" s="300"/>
      <c r="H23" s="300"/>
      <c r="I23" s="300"/>
      <c r="J23" s="300"/>
      <c r="K23" s="300"/>
      <c r="L23" s="300"/>
      <c r="M23" s="300"/>
      <c r="N23" s="300"/>
      <c r="O23" s="300"/>
    </row>
    <row r="24" spans="2:15" s="24" customFormat="1" ht="26.25">
      <c r="B24" s="197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</row>
    <row r="25" spans="2:15" s="24" customFormat="1" ht="26.25">
      <c r="B25" s="197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16" s="24" customFormat="1" ht="26.25">
      <c r="A26" s="213" t="s">
        <v>210</v>
      </c>
      <c r="B26" s="197"/>
      <c r="C26" s="196"/>
      <c r="D26" s="211" t="s">
        <v>209</v>
      </c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10"/>
    </row>
    <row r="27" spans="2:16" s="24" customFormat="1" ht="26.25">
      <c r="B27" s="197"/>
      <c r="C27" s="196"/>
      <c r="D27" s="208" t="s">
        <v>205</v>
      </c>
      <c r="E27" s="209"/>
      <c r="F27" s="209"/>
      <c r="G27" s="209"/>
      <c r="H27" s="209"/>
      <c r="I27" s="209"/>
      <c r="J27" s="209"/>
      <c r="K27" s="209"/>
      <c r="L27" s="209"/>
      <c r="M27" s="212" t="s">
        <v>207</v>
      </c>
      <c r="N27" s="209"/>
      <c r="O27" s="209"/>
      <c r="P27" s="210"/>
    </row>
    <row r="28" spans="2:16" s="24" customFormat="1" ht="26.25">
      <c r="B28" s="197"/>
      <c r="C28" s="196"/>
      <c r="D28" s="207" t="s">
        <v>206</v>
      </c>
      <c r="E28" s="209"/>
      <c r="F28" s="209"/>
      <c r="G28" s="209"/>
      <c r="H28" s="209"/>
      <c r="I28" s="209"/>
      <c r="J28" s="209"/>
      <c r="K28" s="209"/>
      <c r="L28" s="209"/>
      <c r="M28" s="212" t="s">
        <v>208</v>
      </c>
      <c r="N28" s="209"/>
      <c r="O28" s="209"/>
      <c r="P28" s="210"/>
    </row>
    <row r="29" spans="2:15" s="266" customFormat="1" ht="26.25">
      <c r="B29" s="269"/>
      <c r="C29" s="270"/>
      <c r="D29" s="271"/>
      <c r="E29" s="270"/>
      <c r="F29" s="270"/>
      <c r="G29" s="270"/>
      <c r="H29" s="270"/>
      <c r="I29" s="270"/>
      <c r="J29" s="270"/>
      <c r="K29" s="270"/>
      <c r="L29" s="270"/>
      <c r="M29" s="272"/>
      <c r="N29" s="270"/>
      <c r="O29" s="270"/>
    </row>
    <row r="30" spans="2:15" s="24" customFormat="1" ht="26.25">
      <c r="B30" s="197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2:14" s="24" customFormat="1" ht="26.25">
      <c r="B31" s="197" t="s">
        <v>198</v>
      </c>
      <c r="C31" s="299" t="s">
        <v>193</v>
      </c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</row>
    <row r="32" spans="2:14" s="24" customFormat="1" ht="26.25">
      <c r="B32" s="194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</row>
    <row r="33" spans="2:15" s="24" customFormat="1" ht="26.25">
      <c r="B33" s="194"/>
      <c r="C33" s="199"/>
      <c r="D33" s="201" t="s">
        <v>203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10"/>
    </row>
    <row r="34" spans="2:15" s="24" customFormat="1" ht="26.25">
      <c r="B34" s="194"/>
      <c r="C34" s="199"/>
      <c r="D34" s="201" t="s">
        <v>281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10"/>
    </row>
    <row r="35" spans="2:15" s="24" customFormat="1" ht="26.25">
      <c r="B35" s="194"/>
      <c r="C35" s="199"/>
      <c r="D35" s="201" t="s">
        <v>204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10"/>
    </row>
    <row r="36" spans="2:15" s="24" customFormat="1" ht="26.25">
      <c r="B36" s="194"/>
      <c r="C36" s="199"/>
      <c r="D36" s="201" t="s">
        <v>211</v>
      </c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10"/>
    </row>
    <row r="37" spans="2:15" s="24" customFormat="1" ht="26.25">
      <c r="B37" s="194"/>
      <c r="C37" s="199"/>
      <c r="D37" s="201" t="s">
        <v>282</v>
      </c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10"/>
    </row>
    <row r="38" spans="2:15" s="24" customFormat="1" ht="26.25">
      <c r="B38" s="194"/>
      <c r="C38" s="199"/>
      <c r="D38" s="201" t="s">
        <v>212</v>
      </c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10"/>
    </row>
    <row r="39" s="24" customFormat="1" ht="26.25">
      <c r="D39" s="200"/>
    </row>
    <row r="40" s="24" customFormat="1" ht="26.25">
      <c r="D40" s="200"/>
    </row>
    <row r="41" spans="2:3" s="24" customFormat="1" ht="26.25">
      <c r="B41" s="194" t="s">
        <v>190</v>
      </c>
      <c r="C41" s="24" t="s">
        <v>249</v>
      </c>
    </row>
    <row r="42" s="24" customFormat="1" ht="26.25">
      <c r="C42" s="24" t="s">
        <v>191</v>
      </c>
    </row>
    <row r="43" s="24" customFormat="1" ht="26.25"/>
    <row r="44" spans="4:15" s="24" customFormat="1" ht="26.25">
      <c r="D44" s="210" t="s">
        <v>213</v>
      </c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</row>
    <row r="45" spans="4:15" s="24" customFormat="1" ht="26.25">
      <c r="D45" s="210" t="s">
        <v>214</v>
      </c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</row>
  </sheetData>
  <mergeCells count="4">
    <mergeCell ref="C8:O9"/>
    <mergeCell ref="C13:O14"/>
    <mergeCell ref="C31:N32"/>
    <mergeCell ref="C23:O24"/>
  </mergeCells>
  <hyperlinks>
    <hyperlink ref="D27" r:id="rId1" display="http://www.ams.usda.gov/lsmnpubs/cfaal.htm"/>
    <hyperlink ref="D28" r:id="rId2" display="http://futuresource.quote.com/"/>
  </hyperlinks>
  <printOptions/>
  <pageMargins left="0.75" right="0.75" top="1" bottom="1" header="0.5" footer="0.5"/>
  <pageSetup fitToHeight="1" fitToWidth="1" horizontalDpi="600" verticalDpi="600" orientation="portrait" scale="60"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workbookViewId="0" topLeftCell="A1">
      <selection activeCell="B18" sqref="B18"/>
    </sheetView>
  </sheetViews>
  <sheetFormatPr defaultColWidth="9.140625" defaultRowHeight="12.75"/>
  <cols>
    <col min="1" max="1" width="19.7109375" style="0" customWidth="1"/>
    <col min="2" max="2" width="48.421875" style="0" customWidth="1"/>
    <col min="3" max="4" width="13.7109375" style="0" customWidth="1"/>
    <col min="5" max="7" width="14.7109375" style="0" customWidth="1"/>
    <col min="8" max="8" width="15.7109375" style="0" customWidth="1"/>
    <col min="9" max="9" width="12.7109375" style="0" customWidth="1"/>
    <col min="10" max="10" width="9.57421875" style="0" bestFit="1" customWidth="1"/>
  </cols>
  <sheetData>
    <row r="2" spans="1:24" ht="26.25">
      <c r="A2" s="24" t="s">
        <v>42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7.25" customHeight="1">
      <c r="A3" s="2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7.25" customHeight="1">
      <c r="A4" s="42" t="s">
        <v>47</v>
      </c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17.25" customHeight="1">
      <c r="A5" s="43" t="s">
        <v>48</v>
      </c>
      <c r="D5" s="43"/>
      <c r="F5" s="57"/>
      <c r="H5" s="57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spans="2:24" ht="18">
      <c r="B6" s="1"/>
      <c r="C6" s="1"/>
      <c r="D6" s="1"/>
      <c r="E6" s="1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4" ht="18">
      <c r="A7" s="74">
        <v>78</v>
      </c>
      <c r="B7" s="1" t="s">
        <v>25</v>
      </c>
      <c r="C7" s="66" t="s">
        <v>73</v>
      </c>
      <c r="D7" s="66" t="s">
        <v>73</v>
      </c>
      <c r="E7" s="7"/>
      <c r="F7" s="5" t="s">
        <v>27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73"/>
    </row>
    <row r="8" spans="1:24" ht="18">
      <c r="A8" s="51">
        <v>45</v>
      </c>
      <c r="B8" s="1" t="s">
        <v>15</v>
      </c>
      <c r="C8" s="66" t="s">
        <v>263</v>
      </c>
      <c r="D8" s="66" t="s">
        <v>264</v>
      </c>
      <c r="E8" s="7"/>
      <c r="F8" s="16">
        <v>20</v>
      </c>
      <c r="L8" s="114"/>
      <c r="M8" s="114"/>
      <c r="N8" s="119"/>
      <c r="O8" s="114"/>
      <c r="P8" s="114"/>
      <c r="Q8" s="114"/>
      <c r="R8" s="114"/>
      <c r="S8" s="114"/>
      <c r="T8" s="114"/>
      <c r="U8" s="114"/>
      <c r="V8" s="114"/>
      <c r="W8" s="114"/>
      <c r="X8" s="73"/>
    </row>
    <row r="9" spans="1:24" ht="18">
      <c r="A9" s="278">
        <v>80</v>
      </c>
      <c r="B9" s="1" t="s">
        <v>279</v>
      </c>
      <c r="C9" s="68">
        <f>A8*A11*(1+A12)</f>
        <v>851.3859375000001</v>
      </c>
      <c r="D9" s="69">
        <f>(C9*A7)/2000</f>
        <v>33.204051562500005</v>
      </c>
      <c r="E9" s="7"/>
      <c r="F9" s="16"/>
      <c r="L9" s="114"/>
      <c r="M9" s="114"/>
      <c r="N9" s="119"/>
      <c r="O9" s="114"/>
      <c r="P9" s="114"/>
      <c r="Q9" s="114"/>
      <c r="R9" s="114"/>
      <c r="S9" s="114"/>
      <c r="T9" s="114"/>
      <c r="U9" s="114"/>
      <c r="V9" s="114"/>
      <c r="W9" s="114"/>
      <c r="X9" s="73"/>
    </row>
    <row r="10" spans="1:24" ht="18">
      <c r="A10" s="281">
        <v>0.03</v>
      </c>
      <c r="B10" s="1" t="s">
        <v>86</v>
      </c>
      <c r="C10" s="66"/>
      <c r="D10" s="67"/>
      <c r="E10" s="50" t="s">
        <v>50</v>
      </c>
      <c r="F10" s="60"/>
      <c r="G10" s="59" t="s">
        <v>60</v>
      </c>
      <c r="H10" s="59" t="s">
        <v>60</v>
      </c>
      <c r="L10" s="114"/>
      <c r="M10" s="114"/>
      <c r="N10" s="275"/>
      <c r="O10" s="275"/>
      <c r="P10" s="275"/>
      <c r="Q10" s="275"/>
      <c r="R10" s="275"/>
      <c r="S10" s="275"/>
      <c r="T10" s="275"/>
      <c r="U10" s="114"/>
      <c r="V10" s="114"/>
      <c r="W10" s="114"/>
      <c r="X10" s="73"/>
    </row>
    <row r="11" spans="1:24" ht="18.75" thickBot="1">
      <c r="A11" s="282">
        <f>A10*((A27+A23)/2)</f>
        <v>18.01875</v>
      </c>
      <c r="B11" s="1" t="s">
        <v>56</v>
      </c>
      <c r="C11" s="66"/>
      <c r="D11" s="66"/>
      <c r="E11" s="283" t="s">
        <v>51</v>
      </c>
      <c r="F11" s="60" t="s">
        <v>63</v>
      </c>
      <c r="G11" s="61">
        <f>(G12-F12)/F12</f>
        <v>0.25</v>
      </c>
      <c r="H11" s="61">
        <f>(H12-F12)/F12</f>
        <v>0.5</v>
      </c>
      <c r="L11" s="81"/>
      <c r="M11" s="114"/>
      <c r="N11" s="119"/>
      <c r="O11" s="114"/>
      <c r="P11" s="114"/>
      <c r="Q11" s="114"/>
      <c r="R11" s="114"/>
      <c r="S11" s="114"/>
      <c r="T11" s="114"/>
      <c r="U11" s="114"/>
      <c r="V11" s="114"/>
      <c r="W11" s="114"/>
      <c r="X11" s="73"/>
    </row>
    <row r="12" spans="1:24" ht="18">
      <c r="A12" s="52">
        <v>0.05</v>
      </c>
      <c r="B12" s="1" t="s">
        <v>16</v>
      </c>
      <c r="E12" s="50" t="s">
        <v>52</v>
      </c>
      <c r="F12" s="44">
        <f>A9</f>
        <v>80</v>
      </c>
      <c r="G12" s="45">
        <f>(F12+$F$8)</f>
        <v>100</v>
      </c>
      <c r="H12" s="45">
        <f>(G12+$F$8)</f>
        <v>120</v>
      </c>
      <c r="I12" s="43"/>
      <c r="J12" s="43"/>
      <c r="K12" s="4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73"/>
    </row>
    <row r="13" spans="1:24" ht="18">
      <c r="A13" s="56">
        <f>($A$8*$A$11*A9/2000)*(1+$A$12)</f>
        <v>34.055437500000004</v>
      </c>
      <c r="B13" s="1" t="s">
        <v>19</v>
      </c>
      <c r="C13" s="1"/>
      <c r="D13" s="22"/>
      <c r="E13" s="50" t="s">
        <v>53</v>
      </c>
      <c r="F13" s="46">
        <f>(F12/2000)</f>
        <v>0.04</v>
      </c>
      <c r="G13" s="46">
        <f>(G12/2000)</f>
        <v>0.05</v>
      </c>
      <c r="H13" s="46">
        <f>(H12/2000)</f>
        <v>0.06</v>
      </c>
      <c r="I13" s="43"/>
      <c r="J13" s="43"/>
      <c r="K13" s="43"/>
      <c r="L13" s="276"/>
      <c r="M13" s="277"/>
      <c r="N13" s="277"/>
      <c r="O13" s="114"/>
      <c r="P13" s="114"/>
      <c r="Q13" s="114"/>
      <c r="R13" s="114"/>
      <c r="S13" s="114"/>
      <c r="T13" s="114"/>
      <c r="U13" s="114"/>
      <c r="V13" s="114"/>
      <c r="W13" s="114"/>
      <c r="X13" s="73"/>
    </row>
    <row r="14" spans="1:24" ht="18">
      <c r="A14" s="53">
        <f>A8*C14</f>
        <v>20.025</v>
      </c>
      <c r="B14" s="1" t="s">
        <v>269</v>
      </c>
      <c r="C14" s="286">
        <v>0.445</v>
      </c>
      <c r="D14" s="22" t="s">
        <v>268</v>
      </c>
      <c r="E14" s="50" t="s">
        <v>54</v>
      </c>
      <c r="F14" s="47">
        <f>($A$8*$A$11*F13)*(1+$A$12)</f>
        <v>34.055437500000004</v>
      </c>
      <c r="G14" s="47">
        <f>($A$8*$A$11*G13)*(1+$A$12)</f>
        <v>42.569296875000006</v>
      </c>
      <c r="H14" s="47">
        <f>($A$8*$A$11*H13)*(1+$A$12)</f>
        <v>51.08315625</v>
      </c>
      <c r="I14" s="43"/>
      <c r="J14" s="43"/>
      <c r="K14" s="43"/>
      <c r="L14" s="276"/>
      <c r="M14" s="277"/>
      <c r="N14" s="277"/>
      <c r="O14" s="114"/>
      <c r="P14" s="114"/>
      <c r="Q14" s="114"/>
      <c r="R14" s="114"/>
      <c r="S14" s="114"/>
      <c r="T14" s="114"/>
      <c r="U14" s="114"/>
      <c r="V14" s="114"/>
      <c r="W14" s="114"/>
      <c r="X14" s="73"/>
    </row>
    <row r="15" spans="1:24" ht="18">
      <c r="A15" s="53">
        <v>13.5</v>
      </c>
      <c r="B15" s="1" t="s">
        <v>49</v>
      </c>
      <c r="C15" s="1"/>
      <c r="D15" s="22"/>
      <c r="E15" s="50" t="s">
        <v>271</v>
      </c>
      <c r="F15" s="284">
        <f>F14*$A$7</f>
        <v>2656.324125</v>
      </c>
      <c r="G15" s="284">
        <f>G14*$A$7</f>
        <v>3320.4051562500003</v>
      </c>
      <c r="H15" s="284">
        <f>H14*$A$7</f>
        <v>3984.4861875</v>
      </c>
      <c r="I15" s="43"/>
      <c r="J15" s="43"/>
      <c r="K15" s="43"/>
      <c r="L15" s="276"/>
      <c r="M15" s="277"/>
      <c r="N15" s="277"/>
      <c r="O15" s="114"/>
      <c r="P15" s="114"/>
      <c r="Q15" s="114"/>
      <c r="R15" s="114"/>
      <c r="S15" s="114"/>
      <c r="T15" s="114"/>
      <c r="U15" s="114"/>
      <c r="V15" s="114"/>
      <c r="W15" s="114"/>
      <c r="X15" s="73"/>
    </row>
    <row r="16" spans="1:24" ht="18">
      <c r="A16" s="53">
        <v>3</v>
      </c>
      <c r="B16" s="1" t="s">
        <v>43</v>
      </c>
      <c r="C16" s="1"/>
      <c r="D16" s="22"/>
      <c r="E16" s="43"/>
      <c r="F16" s="43"/>
      <c r="G16" s="43"/>
      <c r="H16" s="43"/>
      <c r="I16" s="43"/>
      <c r="J16" s="43"/>
      <c r="K16" s="43"/>
      <c r="L16" s="276"/>
      <c r="M16" s="277"/>
      <c r="N16" s="277"/>
      <c r="O16" s="114"/>
      <c r="P16" s="114"/>
      <c r="Q16" s="114"/>
      <c r="R16" s="114"/>
      <c r="S16" s="114"/>
      <c r="T16" s="114"/>
      <c r="U16" s="114"/>
      <c r="V16" s="114"/>
      <c r="W16" s="114"/>
      <c r="X16" s="73"/>
    </row>
    <row r="17" spans="1:24" ht="18">
      <c r="A17" s="53">
        <v>3</v>
      </c>
      <c r="B17" s="1" t="s">
        <v>20</v>
      </c>
      <c r="C17" s="1"/>
      <c r="D17" s="22"/>
      <c r="E17" s="43"/>
      <c r="F17" s="43"/>
      <c r="G17" s="43"/>
      <c r="H17" s="43"/>
      <c r="I17" s="43"/>
      <c r="J17" s="43"/>
      <c r="K17" s="43"/>
      <c r="L17" s="276"/>
      <c r="M17" s="277"/>
      <c r="N17" s="277"/>
      <c r="O17" s="114"/>
      <c r="P17" s="114"/>
      <c r="Q17" s="114"/>
      <c r="R17" s="114"/>
      <c r="S17" s="114"/>
      <c r="T17" s="114"/>
      <c r="U17" s="114"/>
      <c r="V17" s="114"/>
      <c r="W17" s="114"/>
      <c r="X17" s="73"/>
    </row>
    <row r="18" spans="1:24" ht="18">
      <c r="A18" s="53">
        <v>2</v>
      </c>
      <c r="B18" s="1" t="s">
        <v>275</v>
      </c>
      <c r="C18" s="285"/>
      <c r="D18" s="22"/>
      <c r="E18" s="43"/>
      <c r="F18" s="43"/>
      <c r="G18" s="43"/>
      <c r="H18" s="43"/>
      <c r="I18" s="43"/>
      <c r="J18" s="43"/>
      <c r="K18" s="43"/>
      <c r="L18" s="276"/>
      <c r="M18" s="277"/>
      <c r="N18" s="277"/>
      <c r="O18" s="114"/>
      <c r="P18" s="114"/>
      <c r="Q18" s="114"/>
      <c r="R18" s="114"/>
      <c r="S18" s="114"/>
      <c r="T18" s="114"/>
      <c r="U18" s="114"/>
      <c r="V18" s="114"/>
      <c r="W18" s="114"/>
      <c r="X18" s="73"/>
    </row>
    <row r="19" spans="1:24" ht="18">
      <c r="A19" s="53">
        <v>3</v>
      </c>
      <c r="B19" s="1" t="s">
        <v>55</v>
      </c>
      <c r="C19" s="280"/>
      <c r="D19" s="22"/>
      <c r="E19" s="43"/>
      <c r="F19" s="43"/>
      <c r="G19" s="43"/>
      <c r="H19" s="43"/>
      <c r="I19" s="43"/>
      <c r="J19" s="44"/>
      <c r="K19" s="43"/>
      <c r="L19" s="276"/>
      <c r="M19" s="277"/>
      <c r="N19" s="277"/>
      <c r="O19" s="114"/>
      <c r="P19" s="114"/>
      <c r="Q19" s="114"/>
      <c r="R19" s="114"/>
      <c r="S19" s="114"/>
      <c r="T19" s="114"/>
      <c r="U19" s="114"/>
      <c r="V19" s="114"/>
      <c r="W19" s="114"/>
      <c r="X19" s="73"/>
    </row>
    <row r="20" spans="1:24" ht="18">
      <c r="A20" s="53">
        <f>A8*C20/30</f>
        <v>0.29100000000000004</v>
      </c>
      <c r="B20" s="1" t="s">
        <v>267</v>
      </c>
      <c r="C20" s="286">
        <v>0.194</v>
      </c>
      <c r="D20" s="297" t="s">
        <v>266</v>
      </c>
      <c r="E20" s="43"/>
      <c r="F20" s="43"/>
      <c r="G20" s="43"/>
      <c r="H20" s="43"/>
      <c r="I20" s="43"/>
      <c r="J20" s="44"/>
      <c r="K20" s="43"/>
      <c r="L20" s="276"/>
      <c r="M20" s="277"/>
      <c r="N20" s="277"/>
      <c r="O20" s="114"/>
      <c r="P20" s="114"/>
      <c r="Q20" s="114"/>
      <c r="R20" s="114"/>
      <c r="S20" s="114"/>
      <c r="T20" s="114"/>
      <c r="U20" s="114"/>
      <c r="V20" s="114"/>
      <c r="W20" s="114"/>
      <c r="X20" s="73"/>
    </row>
    <row r="21" spans="1:24" ht="18">
      <c r="A21" s="53">
        <f>A8/365*C21*D21</f>
        <v>1.1095890410958904</v>
      </c>
      <c r="B21" s="1" t="s">
        <v>265</v>
      </c>
      <c r="C21" s="280">
        <v>0.09</v>
      </c>
      <c r="D21" s="22">
        <v>100</v>
      </c>
      <c r="E21" s="296" t="s">
        <v>287</v>
      </c>
      <c r="F21" s="296" t="s">
        <v>288</v>
      </c>
      <c r="G21" s="43"/>
      <c r="H21" s="43"/>
      <c r="I21" s="43"/>
      <c r="J21" s="44"/>
      <c r="K21" s="43"/>
      <c r="L21" s="276"/>
      <c r="M21" s="277"/>
      <c r="N21" s="277"/>
      <c r="O21" s="114"/>
      <c r="P21" s="114"/>
      <c r="Q21" s="114"/>
      <c r="R21" s="114"/>
      <c r="S21" s="114"/>
      <c r="T21" s="114"/>
      <c r="U21" s="114"/>
      <c r="V21" s="114"/>
      <c r="W21" s="114"/>
      <c r="X21" s="73"/>
    </row>
    <row r="22" spans="1:24" ht="18">
      <c r="A22" s="54">
        <v>0.005</v>
      </c>
      <c r="B22" s="1" t="s">
        <v>21</v>
      </c>
      <c r="C22" s="280"/>
      <c r="D22" s="8"/>
      <c r="E22" s="43"/>
      <c r="F22" s="43"/>
      <c r="G22" s="43"/>
      <c r="H22" s="43"/>
      <c r="I22" s="43"/>
      <c r="J22" s="44"/>
      <c r="K22" s="43"/>
      <c r="L22" s="276"/>
      <c r="M22" s="277"/>
      <c r="N22" s="277"/>
      <c r="O22" s="114"/>
      <c r="P22" s="114"/>
      <c r="Q22" s="114"/>
      <c r="R22" s="114"/>
      <c r="S22" s="114"/>
      <c r="T22" s="114"/>
      <c r="U22" s="114"/>
      <c r="V22" s="114"/>
      <c r="W22" s="114"/>
      <c r="X22" s="73"/>
    </row>
    <row r="23" spans="1:24" ht="18">
      <c r="A23" s="51">
        <v>550</v>
      </c>
      <c r="B23" s="1" t="s">
        <v>22</v>
      </c>
      <c r="C23" s="280"/>
      <c r="D23" s="7"/>
      <c r="E23" s="48" t="s">
        <v>32</v>
      </c>
      <c r="F23" s="49">
        <f>(E66-$C$66)/(E64-$C$64)</f>
        <v>0.7524271844660194</v>
      </c>
      <c r="G23" s="49">
        <f>(F66-$C$66)/(F64-$C$64)</f>
        <v>0.7524271844660194</v>
      </c>
      <c r="H23" s="49">
        <f>(G66-$C$66)/(G64-$C$64)</f>
        <v>0.7524271844660194</v>
      </c>
      <c r="I23" s="43"/>
      <c r="J23" s="58"/>
      <c r="K23" s="43"/>
      <c r="L23" s="276"/>
      <c r="M23" s="277"/>
      <c r="N23" s="277"/>
      <c r="O23" s="114"/>
      <c r="P23" s="114"/>
      <c r="Q23" s="114"/>
      <c r="R23" s="114"/>
      <c r="S23" s="114"/>
      <c r="T23" s="114"/>
      <c r="U23" s="114"/>
      <c r="V23" s="114"/>
      <c r="W23" s="114"/>
      <c r="X23" s="73"/>
    </row>
    <row r="24" spans="1:24" ht="18">
      <c r="A24" s="51">
        <f>A23*(1-C24)</f>
        <v>495</v>
      </c>
      <c r="B24" s="1" t="s">
        <v>276</v>
      </c>
      <c r="C24" s="280">
        <v>0.1</v>
      </c>
      <c r="D24" s="7"/>
      <c r="E24" s="48"/>
      <c r="F24" s="49"/>
      <c r="G24" s="49"/>
      <c r="H24" s="49"/>
      <c r="I24" s="43"/>
      <c r="J24" s="58"/>
      <c r="K24" s="43"/>
      <c r="L24" s="276"/>
      <c r="M24" s="277"/>
      <c r="N24" s="277"/>
      <c r="O24" s="114"/>
      <c r="P24" s="114"/>
      <c r="Q24" s="114"/>
      <c r="R24" s="114"/>
      <c r="S24" s="114"/>
      <c r="T24" s="114"/>
      <c r="U24" s="114"/>
      <c r="V24" s="114"/>
      <c r="W24" s="114"/>
      <c r="X24" s="73"/>
    </row>
    <row r="25" spans="1:24" ht="18">
      <c r="A25" s="53">
        <v>114</v>
      </c>
      <c r="B25" s="1" t="s">
        <v>61</v>
      </c>
      <c r="C25" s="280"/>
      <c r="D25" s="22"/>
      <c r="E25" s="48" t="s">
        <v>33</v>
      </c>
      <c r="F25" s="49">
        <f>E53/(E64-$C$64)</f>
        <v>0.6442565168240457</v>
      </c>
      <c r="G25" s="49">
        <f>F53/(F64-$C$64)</f>
        <v>0.7103835799308418</v>
      </c>
      <c r="H25" s="49">
        <f>G53/(G64-$C$64)</f>
        <v>0.776510643037638</v>
      </c>
      <c r="I25" s="43"/>
      <c r="J25" s="58"/>
      <c r="K25" s="43"/>
      <c r="L25" s="276"/>
      <c r="M25" s="277"/>
      <c r="N25" s="277"/>
      <c r="O25" s="114"/>
      <c r="P25" s="114"/>
      <c r="Q25" s="114"/>
      <c r="R25" s="114"/>
      <c r="S25" s="114"/>
      <c r="T25" s="114"/>
      <c r="U25" s="114"/>
      <c r="V25" s="114"/>
      <c r="W25" s="114"/>
      <c r="X25" s="73"/>
    </row>
    <row r="26" spans="1:24" ht="18">
      <c r="A26" s="55">
        <v>2.25</v>
      </c>
      <c r="B26" s="1" t="s">
        <v>23</v>
      </c>
      <c r="C26" s="279"/>
      <c r="I26" s="43"/>
      <c r="J26" s="44"/>
      <c r="K26" s="43"/>
      <c r="L26" s="276"/>
      <c r="M26" s="277"/>
      <c r="N26" s="277"/>
      <c r="O26" s="114"/>
      <c r="P26" s="114"/>
      <c r="Q26" s="114"/>
      <c r="R26" s="114"/>
      <c r="S26" s="114"/>
      <c r="T26" s="114"/>
      <c r="U26" s="114"/>
      <c r="V26" s="114"/>
      <c r="W26" s="114"/>
      <c r="X26" s="73"/>
    </row>
    <row r="27" spans="1:24" ht="18">
      <c r="A27" s="72">
        <f>(A8*A26)+(A23)</f>
        <v>651.25</v>
      </c>
      <c r="B27" s="1" t="s">
        <v>24</v>
      </c>
      <c r="C27" s="279"/>
      <c r="E27" s="48" t="s">
        <v>34</v>
      </c>
      <c r="F27" s="49">
        <f>F23-F25</f>
        <v>0.1081706676419737</v>
      </c>
      <c r="G27" s="49">
        <f>G23-G25</f>
        <v>0.04204360453517764</v>
      </c>
      <c r="H27" s="49">
        <f>H23-H25</f>
        <v>-0.024083458571618532</v>
      </c>
      <c r="I27" s="43"/>
      <c r="J27" s="58"/>
      <c r="K27" s="43"/>
      <c r="L27" s="276"/>
      <c r="M27" s="277"/>
      <c r="N27" s="277"/>
      <c r="O27" s="114"/>
      <c r="P27" s="114"/>
      <c r="Q27" s="114"/>
      <c r="R27" s="114"/>
      <c r="S27" s="114"/>
      <c r="T27" s="114"/>
      <c r="U27" s="114"/>
      <c r="V27" s="114"/>
      <c r="W27" s="114"/>
      <c r="X27" s="73"/>
    </row>
    <row r="28" spans="1:24" ht="18.75" thickBot="1">
      <c r="A28" s="72">
        <f>A27*(1-C28)</f>
        <v>618.6875</v>
      </c>
      <c r="B28" s="1" t="s">
        <v>277</v>
      </c>
      <c r="C28" s="280">
        <v>0.05</v>
      </c>
      <c r="E28" s="48"/>
      <c r="F28" s="49"/>
      <c r="G28" s="49"/>
      <c r="H28" s="49"/>
      <c r="I28" s="43"/>
      <c r="J28" s="58"/>
      <c r="K28" s="43"/>
      <c r="L28" s="276"/>
      <c r="M28" s="277"/>
      <c r="N28" s="277"/>
      <c r="O28" s="114"/>
      <c r="P28" s="114"/>
      <c r="Q28" s="114"/>
      <c r="R28" s="114"/>
      <c r="S28" s="114"/>
      <c r="T28" s="114"/>
      <c r="U28" s="114"/>
      <c r="V28" s="114"/>
      <c r="W28" s="114"/>
      <c r="X28" s="73"/>
    </row>
    <row r="29" spans="1:24" ht="18">
      <c r="A29" s="186">
        <f>C31+D31</f>
        <v>106</v>
      </c>
      <c r="B29" s="1" t="s">
        <v>62</v>
      </c>
      <c r="C29" s="187" t="s">
        <v>184</v>
      </c>
      <c r="D29" s="188" t="s">
        <v>183</v>
      </c>
      <c r="E29" s="48" t="s">
        <v>38</v>
      </c>
      <c r="F29" s="49">
        <f>F27*(E64-$C$64)</f>
        <v>13.926973458904113</v>
      </c>
      <c r="G29" s="49">
        <f>G27*(F64-$C$64)</f>
        <v>5.41311408390412</v>
      </c>
      <c r="H29" s="49">
        <f>H27*(G64-$C$64)</f>
        <v>-3.100745291095886</v>
      </c>
      <c r="I29" s="43"/>
      <c r="J29" s="58"/>
      <c r="K29" s="43"/>
      <c r="L29" s="276"/>
      <c r="M29" s="277"/>
      <c r="N29" s="277"/>
      <c r="O29" s="114"/>
      <c r="P29" s="114"/>
      <c r="Q29" s="114"/>
      <c r="R29" s="114"/>
      <c r="S29" s="114"/>
      <c r="T29" s="114"/>
      <c r="U29" s="114"/>
      <c r="V29" s="114"/>
      <c r="W29" s="114"/>
      <c r="X29" s="73"/>
    </row>
    <row r="30" spans="1:24" ht="18">
      <c r="A30" s="22"/>
      <c r="B30" s="1"/>
      <c r="C30" s="191" t="s">
        <v>185</v>
      </c>
      <c r="D30" s="192" t="s">
        <v>134</v>
      </c>
      <c r="I30" s="43"/>
      <c r="J30" s="44"/>
      <c r="K30" s="43"/>
      <c r="L30" s="277"/>
      <c r="M30" s="277"/>
      <c r="N30" s="277"/>
      <c r="O30" s="114"/>
      <c r="P30" s="114"/>
      <c r="Q30" s="114"/>
      <c r="R30" s="114"/>
      <c r="S30" s="114"/>
      <c r="T30" s="114"/>
      <c r="U30" s="114"/>
      <c r="V30" s="114"/>
      <c r="W30" s="114"/>
      <c r="X30" s="73"/>
    </row>
    <row r="31" spans="3:24" ht="18.75" thickBot="1">
      <c r="C31" s="189">
        <v>101</v>
      </c>
      <c r="D31" s="190">
        <v>5</v>
      </c>
      <c r="E31" s="23"/>
      <c r="F31" s="21"/>
      <c r="G31" s="21"/>
      <c r="H31" s="21"/>
      <c r="J31" s="57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73"/>
    </row>
    <row r="32" spans="5:24" ht="12.75">
      <c r="E32" s="23"/>
      <c r="F32" s="21"/>
      <c r="G32" s="21"/>
      <c r="H32" s="21"/>
      <c r="J32" s="57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73"/>
    </row>
    <row r="33" spans="5:24" ht="12.75">
      <c r="E33" s="23"/>
      <c r="F33" s="21"/>
      <c r="G33" s="21"/>
      <c r="H33" s="21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ht="18">
      <c r="A34" s="25" t="s">
        <v>46</v>
      </c>
      <c r="B34" s="25"/>
      <c r="C34" s="26"/>
      <c r="D34" s="27"/>
      <c r="E34" s="28"/>
      <c r="F34" s="28"/>
      <c r="G34" s="28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 s="1" customFormat="1" ht="18">
      <c r="A35" s="2"/>
      <c r="B35" s="2"/>
      <c r="C35" s="17" t="s">
        <v>39</v>
      </c>
      <c r="D35" s="3"/>
      <c r="F35" s="17" t="s">
        <v>14</v>
      </c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</row>
    <row r="36" spans="1:24" s="1" customFormat="1" ht="18">
      <c r="A36" s="2"/>
      <c r="B36" s="2"/>
      <c r="C36" s="17" t="s">
        <v>40</v>
      </c>
      <c r="D36" s="3"/>
      <c r="F36" s="17" t="s">
        <v>13</v>
      </c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</row>
    <row r="37" spans="1:7" s="1" customFormat="1" ht="18">
      <c r="A37" s="11"/>
      <c r="B37" s="11"/>
      <c r="C37" s="18" t="s">
        <v>41</v>
      </c>
      <c r="D37" s="10"/>
      <c r="E37" s="11"/>
      <c r="F37" s="18" t="s">
        <v>44</v>
      </c>
      <c r="G37" s="11"/>
    </row>
    <row r="38" spans="1:6" s="1" customFormat="1" ht="18">
      <c r="A38" s="12"/>
      <c r="B38" s="12"/>
      <c r="C38" s="13"/>
      <c r="D38" s="13"/>
      <c r="F38" s="19" t="s">
        <v>28</v>
      </c>
    </row>
    <row r="39" spans="1:7" s="1" customFormat="1" ht="18">
      <c r="A39" s="9" t="s">
        <v>0</v>
      </c>
      <c r="B39" s="9"/>
      <c r="C39" s="10"/>
      <c r="D39" s="10"/>
      <c r="E39" s="20">
        <f>F12</f>
        <v>80</v>
      </c>
      <c r="F39" s="20">
        <f>G12</f>
        <v>100</v>
      </c>
      <c r="G39" s="20">
        <f>H12</f>
        <v>120</v>
      </c>
    </row>
    <row r="40" spans="1:7" s="1" customFormat="1" ht="18">
      <c r="A40" s="12"/>
      <c r="B40" s="12"/>
      <c r="C40" s="33"/>
      <c r="D40" s="33"/>
      <c r="E40" s="34"/>
      <c r="F40" s="34"/>
      <c r="G40" s="34"/>
    </row>
    <row r="41" spans="1:7" s="1" customFormat="1" ht="18">
      <c r="A41" s="4" t="s">
        <v>18</v>
      </c>
      <c r="B41" s="4"/>
      <c r="C41" s="35">
        <f>A7</f>
        <v>78</v>
      </c>
      <c r="D41" s="35"/>
      <c r="E41" s="35">
        <f>A7</f>
        <v>78</v>
      </c>
      <c r="F41" s="36">
        <f>E41</f>
        <v>78</v>
      </c>
      <c r="G41" s="36">
        <f>E41</f>
        <v>78</v>
      </c>
    </row>
    <row r="42" spans="1:7" s="1" customFormat="1" ht="18">
      <c r="A42" s="1" t="s">
        <v>1</v>
      </c>
      <c r="C42" s="36">
        <f>A23</f>
        <v>550</v>
      </c>
      <c r="D42" s="36"/>
      <c r="E42" s="36">
        <f>A23</f>
        <v>550</v>
      </c>
      <c r="F42" s="36">
        <f>E42</f>
        <v>550</v>
      </c>
      <c r="G42" s="36">
        <f>E42</f>
        <v>550</v>
      </c>
    </row>
    <row r="43" spans="1:7" s="1" customFormat="1" ht="18">
      <c r="A43" s="1" t="s">
        <v>2</v>
      </c>
      <c r="C43" s="36">
        <v>0</v>
      </c>
      <c r="D43" s="36"/>
      <c r="E43" s="36">
        <f>A8</f>
        <v>45</v>
      </c>
      <c r="F43" s="36">
        <f>E43</f>
        <v>45</v>
      </c>
      <c r="G43" s="36">
        <f>E43</f>
        <v>45</v>
      </c>
    </row>
    <row r="44" spans="1:7" s="1" customFormat="1" ht="18">
      <c r="A44" s="1" t="s">
        <v>58</v>
      </c>
      <c r="C44" s="37" t="s">
        <v>17</v>
      </c>
      <c r="D44" s="36"/>
      <c r="E44" s="38">
        <f>$A$19</f>
        <v>3</v>
      </c>
      <c r="F44" s="38">
        <f>$A$19</f>
        <v>3</v>
      </c>
      <c r="G44" s="38">
        <f>$A$19</f>
        <v>3</v>
      </c>
    </row>
    <row r="45" spans="1:7" s="1" customFormat="1" ht="18">
      <c r="A45" s="1" t="s">
        <v>270</v>
      </c>
      <c r="C45" s="37" t="s">
        <v>17</v>
      </c>
      <c r="D45" s="36"/>
      <c r="E45" s="38">
        <f>$A$14</f>
        <v>20.025</v>
      </c>
      <c r="F45" s="38">
        <f>$A$14</f>
        <v>20.025</v>
      </c>
      <c r="G45" s="38">
        <f>$A$14</f>
        <v>20.025</v>
      </c>
    </row>
    <row r="46" spans="1:7" s="1" customFormat="1" ht="18">
      <c r="A46" s="1" t="s">
        <v>45</v>
      </c>
      <c r="C46" s="37" t="s">
        <v>17</v>
      </c>
      <c r="D46" s="37"/>
      <c r="E46" s="38">
        <f>F14+$A$17</f>
        <v>37.055437500000004</v>
      </c>
      <c r="F46" s="38">
        <f>G14+$A$17</f>
        <v>45.569296875000006</v>
      </c>
      <c r="G46" s="38">
        <f>H14+$A$17</f>
        <v>54.08315625</v>
      </c>
    </row>
    <row r="47" spans="1:7" s="1" customFormat="1" ht="18">
      <c r="A47" s="1" t="s">
        <v>272</v>
      </c>
      <c r="C47" s="37"/>
      <c r="D47" s="37"/>
      <c r="E47" s="38">
        <f>$A$17</f>
        <v>3</v>
      </c>
      <c r="F47" s="38">
        <f>$A$17</f>
        <v>3</v>
      </c>
      <c r="G47" s="38">
        <f>$A$17</f>
        <v>3</v>
      </c>
    </row>
    <row r="48" spans="1:7" s="1" customFormat="1" ht="18">
      <c r="A48" s="1" t="s">
        <v>273</v>
      </c>
      <c r="C48" s="37" t="s">
        <v>17</v>
      </c>
      <c r="D48" s="37"/>
      <c r="E48" s="38">
        <f>($A$15)</f>
        <v>13.5</v>
      </c>
      <c r="F48" s="38">
        <f>($A$15)</f>
        <v>13.5</v>
      </c>
      <c r="G48" s="38">
        <f>($A$15)</f>
        <v>13.5</v>
      </c>
    </row>
    <row r="49" spans="1:7" s="1" customFormat="1" ht="18">
      <c r="A49" s="1" t="s">
        <v>274</v>
      </c>
      <c r="C49" s="37" t="s">
        <v>17</v>
      </c>
      <c r="D49" s="37"/>
      <c r="E49" s="38">
        <f>$A$18</f>
        <v>2</v>
      </c>
      <c r="F49" s="38">
        <f>$A$18</f>
        <v>2</v>
      </c>
      <c r="G49" s="38">
        <f>$A$18</f>
        <v>2</v>
      </c>
    </row>
    <row r="50" spans="1:7" s="1" customFormat="1" ht="18">
      <c r="A50" s="1" t="s">
        <v>74</v>
      </c>
      <c r="C50" s="37" t="s">
        <v>17</v>
      </c>
      <c r="D50" s="37"/>
      <c r="E50" s="38">
        <f>$A$8/30*$A$20</f>
        <v>0.43650000000000005</v>
      </c>
      <c r="F50" s="38">
        <f>$A$8/30*$A$20</f>
        <v>0.43650000000000005</v>
      </c>
      <c r="G50" s="38">
        <f>$A$8/30*$A$20</f>
        <v>0.43650000000000005</v>
      </c>
    </row>
    <row r="51" spans="1:7" s="1" customFormat="1" ht="18">
      <c r="A51" s="1" t="s">
        <v>265</v>
      </c>
      <c r="C51" s="37" t="s">
        <v>17</v>
      </c>
      <c r="D51" s="37"/>
      <c r="E51" s="38">
        <f>$A$21</f>
        <v>1.1095890410958904</v>
      </c>
      <c r="F51" s="38">
        <f>$A$21</f>
        <v>1.1095890410958904</v>
      </c>
      <c r="G51" s="38">
        <f>$A$21</f>
        <v>1.1095890410958904</v>
      </c>
    </row>
    <row r="52" spans="1:7" s="1" customFormat="1" ht="18">
      <c r="A52" s="1" t="s">
        <v>31</v>
      </c>
      <c r="C52" s="37" t="s">
        <v>17</v>
      </c>
      <c r="D52" s="37"/>
      <c r="E52" s="39">
        <f>A22*C64*A25*0.01</f>
        <v>2.8215000000000003</v>
      </c>
      <c r="F52" s="39">
        <f>E52</f>
        <v>2.8215000000000003</v>
      </c>
      <c r="G52" s="39">
        <f>E52</f>
        <v>2.8215000000000003</v>
      </c>
    </row>
    <row r="53" spans="1:7" s="1" customFormat="1" ht="18">
      <c r="A53" s="1" t="s">
        <v>29</v>
      </c>
      <c r="C53" s="37" t="s">
        <v>17</v>
      </c>
      <c r="D53" s="37"/>
      <c r="E53" s="38">
        <f>SUM(E44:E52)</f>
        <v>82.94802654109589</v>
      </c>
      <c r="F53" s="38">
        <f>SUM(F44:F52)</f>
        <v>91.46188591609588</v>
      </c>
      <c r="G53" s="38">
        <f>SUM(G44:G52)</f>
        <v>99.97574529109589</v>
      </c>
    </row>
    <row r="54" spans="1:7" s="1" customFormat="1" ht="18">
      <c r="A54" s="1" t="s">
        <v>30</v>
      </c>
      <c r="C54" s="37" t="s">
        <v>17</v>
      </c>
      <c r="D54" s="37"/>
      <c r="E54" s="38">
        <f>(E53/E43)</f>
        <v>1.8432894786910197</v>
      </c>
      <c r="F54" s="38">
        <f>(F53/F43)</f>
        <v>2.0324863536910196</v>
      </c>
      <c r="G54" s="38">
        <f>(G53/G43)</f>
        <v>2.22168322869102</v>
      </c>
    </row>
    <row r="55" spans="1:7" s="1" customFormat="1" ht="18">
      <c r="A55" s="1" t="s">
        <v>3</v>
      </c>
      <c r="C55" s="37" t="s">
        <v>17</v>
      </c>
      <c r="D55" s="37"/>
      <c r="E55" s="40">
        <f>A26</f>
        <v>2.25</v>
      </c>
      <c r="F55" s="41">
        <f aca="true" t="shared" si="0" ref="F55:F62">E55</f>
        <v>2.25</v>
      </c>
      <c r="G55" s="41">
        <f>E55</f>
        <v>2.25</v>
      </c>
    </row>
    <row r="56" spans="1:7" s="1" customFormat="1" ht="18">
      <c r="A56" s="1" t="s">
        <v>4</v>
      </c>
      <c r="C56" s="37" t="s">
        <v>17</v>
      </c>
      <c r="D56" s="37"/>
      <c r="E56" s="62">
        <f>A27</f>
        <v>651.25</v>
      </c>
      <c r="F56" s="62">
        <f t="shared" si="0"/>
        <v>651.25</v>
      </c>
      <c r="G56" s="62">
        <f>E56</f>
        <v>651.25</v>
      </c>
    </row>
    <row r="57" spans="1:7" s="1" customFormat="1" ht="18">
      <c r="A57" s="1" t="s">
        <v>59</v>
      </c>
      <c r="C57" s="5">
        <v>2</v>
      </c>
      <c r="D57" s="5"/>
      <c r="E57" s="6" t="s">
        <v>17</v>
      </c>
      <c r="F57" s="14" t="str">
        <f t="shared" si="0"/>
        <v>-</v>
      </c>
      <c r="G57" s="15" t="s">
        <v>17</v>
      </c>
    </row>
    <row r="58" spans="1:7" s="1" customFormat="1" ht="18">
      <c r="A58" s="1" t="s">
        <v>5</v>
      </c>
      <c r="C58" s="5">
        <v>3</v>
      </c>
      <c r="D58" s="5"/>
      <c r="E58" s="6" t="s">
        <v>17</v>
      </c>
      <c r="F58" s="14" t="str">
        <f t="shared" si="0"/>
        <v>-</v>
      </c>
      <c r="G58" s="14" t="str">
        <f>E58</f>
        <v>-</v>
      </c>
    </row>
    <row r="59" spans="1:7" s="1" customFormat="1" ht="18">
      <c r="A59" s="1" t="s">
        <v>6</v>
      </c>
      <c r="C59" s="5">
        <v>1</v>
      </c>
      <c r="D59" s="5"/>
      <c r="E59" s="5">
        <v>2</v>
      </c>
      <c r="F59" s="5">
        <f t="shared" si="0"/>
        <v>2</v>
      </c>
      <c r="G59" s="5">
        <f>E59</f>
        <v>2</v>
      </c>
    </row>
    <row r="60" spans="1:7" s="1" customFormat="1" ht="18">
      <c r="A60" s="1" t="s">
        <v>57</v>
      </c>
      <c r="C60" s="6">
        <v>2</v>
      </c>
      <c r="D60" s="6"/>
      <c r="E60" s="6" t="s">
        <v>17</v>
      </c>
      <c r="F60" s="63" t="str">
        <f t="shared" si="0"/>
        <v>-</v>
      </c>
      <c r="G60" s="63" t="str">
        <f>E60</f>
        <v>-</v>
      </c>
    </row>
    <row r="61" spans="1:7" s="1" customFormat="1" ht="18">
      <c r="A61" s="1" t="s">
        <v>7</v>
      </c>
      <c r="C61" s="5">
        <v>2</v>
      </c>
      <c r="D61" s="5"/>
      <c r="E61" s="5">
        <v>3</v>
      </c>
      <c r="F61" s="5">
        <f t="shared" si="0"/>
        <v>3</v>
      </c>
      <c r="G61" s="5">
        <f>E61</f>
        <v>3</v>
      </c>
    </row>
    <row r="62" spans="1:7" s="1" customFormat="1" ht="18">
      <c r="A62" s="1" t="s">
        <v>8</v>
      </c>
      <c r="C62" s="29">
        <f>SUM(C57:C61)</f>
        <v>10</v>
      </c>
      <c r="D62" s="29"/>
      <c r="E62" s="29">
        <f>SUM(E59:E61)</f>
        <v>5</v>
      </c>
      <c r="F62" s="29">
        <f t="shared" si="0"/>
        <v>5</v>
      </c>
      <c r="G62" s="29">
        <f>E62</f>
        <v>5</v>
      </c>
    </row>
    <row r="63" spans="1:7" s="1" customFormat="1" ht="18">
      <c r="A63" s="1" t="s">
        <v>9</v>
      </c>
      <c r="C63" s="30">
        <f>(C62*0.01*C42)</f>
        <v>55</v>
      </c>
      <c r="D63" s="29"/>
      <c r="E63" s="30">
        <f>(E62*0.01*E42)</f>
        <v>27.5</v>
      </c>
      <c r="F63" s="30">
        <f>(F62*0.01*F42)</f>
        <v>27.5</v>
      </c>
      <c r="G63" s="30">
        <f>(G62*0.01*G42)</f>
        <v>27.5</v>
      </c>
    </row>
    <row r="64" spans="1:7" s="1" customFormat="1" ht="18">
      <c r="A64" s="1" t="s">
        <v>10</v>
      </c>
      <c r="C64" s="30">
        <f>(C42-C63)</f>
        <v>495</v>
      </c>
      <c r="D64" s="29"/>
      <c r="E64" s="30">
        <f>(E56-E63)</f>
        <v>623.75</v>
      </c>
      <c r="F64" s="30">
        <f>(F56-F63)</f>
        <v>623.75</v>
      </c>
      <c r="G64" s="30">
        <f>(G56-G63)</f>
        <v>623.75</v>
      </c>
    </row>
    <row r="65" spans="1:7" s="1" customFormat="1" ht="18">
      <c r="A65" s="1" t="s">
        <v>11</v>
      </c>
      <c r="C65" s="31">
        <f>A25</f>
        <v>114</v>
      </c>
      <c r="D65" s="31"/>
      <c r="E65" s="31">
        <f>$A$29</f>
        <v>106</v>
      </c>
      <c r="F65" s="31">
        <f>$A$29</f>
        <v>106</v>
      </c>
      <c r="G65" s="31">
        <f>$A$29</f>
        <v>106</v>
      </c>
    </row>
    <row r="66" spans="1:7" s="1" customFormat="1" ht="18">
      <c r="A66" s="1" t="s">
        <v>12</v>
      </c>
      <c r="C66" s="31">
        <f>(C64*C65*0.01)</f>
        <v>564.3000000000001</v>
      </c>
      <c r="D66" s="31"/>
      <c r="E66" s="31">
        <f>(E64*E65*0.01)</f>
        <v>661.1750000000001</v>
      </c>
      <c r="F66" s="31">
        <f>(F64*F65*0.01)</f>
        <v>661.1750000000001</v>
      </c>
      <c r="G66" s="31">
        <f>(G64*G65*0.01)</f>
        <v>661.1750000000001</v>
      </c>
    </row>
    <row r="67" spans="1:7" s="1" customFormat="1" ht="18">
      <c r="A67" s="1" t="s">
        <v>37</v>
      </c>
      <c r="C67" s="31">
        <v>0</v>
      </c>
      <c r="D67" s="31"/>
      <c r="E67" s="31">
        <f>E53</f>
        <v>82.94802654109589</v>
      </c>
      <c r="F67" s="31">
        <f>F53</f>
        <v>91.46188591609588</v>
      </c>
      <c r="G67" s="31">
        <f>G53</f>
        <v>99.97574529109589</v>
      </c>
    </row>
    <row r="68" spans="1:7" s="1" customFormat="1" ht="18">
      <c r="A68" s="1" t="s">
        <v>35</v>
      </c>
      <c r="C68" s="31">
        <f>(C66-C67)</f>
        <v>564.3000000000001</v>
      </c>
      <c r="D68" s="31"/>
      <c r="E68" s="31">
        <f>(E66-E67)</f>
        <v>578.2269734589042</v>
      </c>
      <c r="F68" s="31">
        <f>(F66-F67)</f>
        <v>569.7131140839042</v>
      </c>
      <c r="G68" s="31">
        <f>(G66-G67)</f>
        <v>561.1992547089042</v>
      </c>
    </row>
    <row r="69" spans="1:7" s="1" customFormat="1" ht="18">
      <c r="A69" s="1" t="s">
        <v>26</v>
      </c>
      <c r="C69" s="31"/>
      <c r="D69" s="31"/>
      <c r="E69" s="31">
        <f>(E68-$C$68)</f>
        <v>13.926973458904172</v>
      </c>
      <c r="F69" s="31">
        <f>(F68-$C$68)</f>
        <v>5.413114083904134</v>
      </c>
      <c r="G69" s="31">
        <f>(G68-$C$68)</f>
        <v>-3.1007452910959046</v>
      </c>
    </row>
    <row r="70" spans="1:7" s="1" customFormat="1" ht="18">
      <c r="A70" s="1" t="s">
        <v>36</v>
      </c>
      <c r="C70" s="31"/>
      <c r="D70" s="31"/>
      <c r="E70" s="70">
        <f>($A$7*E69)</f>
        <v>1086.3039297945254</v>
      </c>
      <c r="F70" s="70">
        <f>($A$7*F69)</f>
        <v>422.2228985445224</v>
      </c>
      <c r="G70" s="70">
        <f>($A$7*G69)</f>
        <v>-241.85813270548056</v>
      </c>
    </row>
    <row r="71" spans="1:7" s="1" customFormat="1" ht="18">
      <c r="A71" s="11"/>
      <c r="B71" s="11"/>
      <c r="C71" s="32"/>
      <c r="D71" s="32"/>
      <c r="E71" s="32"/>
      <c r="F71" s="32"/>
      <c r="G71" s="32"/>
    </row>
    <row r="72" s="1" customFormat="1" ht="18.75" thickBot="1"/>
    <row r="73" spans="1:7" s="1" customFormat="1" ht="18">
      <c r="A73" s="64" t="s">
        <v>70</v>
      </c>
      <c r="C73" s="87" t="s">
        <v>64</v>
      </c>
      <c r="D73" s="87"/>
      <c r="E73" s="288">
        <f>E69/E67</f>
        <v>0.16789999762084964</v>
      </c>
      <c r="F73" s="288">
        <f>F69/F67</f>
        <v>0.05918436985729713</v>
      </c>
      <c r="G73" s="288">
        <f>G69/G67</f>
        <v>-0.031014975502983974</v>
      </c>
    </row>
    <row r="74" spans="1:7" s="1" customFormat="1" ht="18.75" thickBot="1">
      <c r="A74" s="65" t="s">
        <v>66</v>
      </c>
      <c r="B74" s="71" t="s">
        <v>75</v>
      </c>
      <c r="C74" s="87" t="s">
        <v>182</v>
      </c>
      <c r="D74" s="87"/>
      <c r="E74" s="287">
        <f>E67</f>
        <v>82.94802654109589</v>
      </c>
      <c r="F74" s="287">
        <f>F67</f>
        <v>91.46188591609588</v>
      </c>
      <c r="G74" s="287">
        <f>G67</f>
        <v>99.97574529109589</v>
      </c>
    </row>
    <row r="75" spans="1:7" s="1" customFormat="1" ht="18">
      <c r="A75" s="75" t="s">
        <v>67</v>
      </c>
      <c r="B75" s="71" t="s">
        <v>76</v>
      </c>
      <c r="C75" s="87" t="s">
        <v>65</v>
      </c>
      <c r="D75" s="87"/>
      <c r="E75" s="289">
        <f>E66-C66</f>
        <v>96.875</v>
      </c>
      <c r="F75" s="287">
        <f>E75</f>
        <v>96.875</v>
      </c>
      <c r="G75" s="287">
        <f>E75</f>
        <v>96.875</v>
      </c>
    </row>
    <row r="76" spans="1:7" s="1" customFormat="1" ht="18">
      <c r="A76" s="76" t="s">
        <v>68</v>
      </c>
      <c r="C76" s="87" t="s">
        <v>278</v>
      </c>
      <c r="D76" s="120"/>
      <c r="E76" s="287">
        <f>E75-E74</f>
        <v>13.926973458904115</v>
      </c>
      <c r="F76" s="287">
        <f>F75-F74</f>
        <v>5.413114083904119</v>
      </c>
      <c r="G76" s="287">
        <f>G75-G74</f>
        <v>-3.1007452910958904</v>
      </c>
    </row>
    <row r="77" spans="1:7" s="1" customFormat="1" ht="18.75" thickBot="1">
      <c r="A77" s="77" t="s">
        <v>69</v>
      </c>
      <c r="C77" s="87"/>
      <c r="D77" s="87" t="s">
        <v>71</v>
      </c>
      <c r="E77" s="290">
        <f>E75/E67</f>
        <v>1.167899997620849</v>
      </c>
      <c r="F77" s="290">
        <f>F75/F67</f>
        <v>1.059184369857297</v>
      </c>
      <c r="G77" s="290">
        <f>G75/G67</f>
        <v>0.9689850244970162</v>
      </c>
    </row>
    <row r="78" spans="3:7" s="1" customFormat="1" ht="18">
      <c r="C78" s="120"/>
      <c r="D78" s="87" t="s">
        <v>72</v>
      </c>
      <c r="E78" s="290">
        <v>1</v>
      </c>
      <c r="F78" s="290">
        <v>1</v>
      </c>
      <c r="G78" s="290">
        <v>1</v>
      </c>
    </row>
    <row r="79" spans="1:6" s="1" customFormat="1" ht="18">
      <c r="A79" s="1" t="s">
        <v>286</v>
      </c>
      <c r="F79" s="7"/>
    </row>
    <row r="80" s="1" customFormat="1" ht="18">
      <c r="F80" s="7"/>
    </row>
    <row r="81" s="1" customFormat="1" ht="18">
      <c r="F81" s="7"/>
    </row>
    <row r="82" s="1" customFormat="1" ht="18">
      <c r="F82" s="7"/>
    </row>
    <row r="83" s="1" customFormat="1" ht="18">
      <c r="F83" s="7"/>
    </row>
    <row r="84" s="1" customFormat="1" ht="18">
      <c r="F84" s="7"/>
    </row>
    <row r="85" s="1" customFormat="1" ht="18">
      <c r="F85" s="7"/>
    </row>
    <row r="86" s="1" customFormat="1" ht="18">
      <c r="F86" s="7"/>
    </row>
    <row r="87" s="1" customFormat="1" ht="18">
      <c r="F87" s="7"/>
    </row>
    <row r="88" s="1" customFormat="1" ht="18">
      <c r="F88" s="7"/>
    </row>
    <row r="89" s="1" customFormat="1" ht="18">
      <c r="F89" s="7"/>
    </row>
    <row r="90" s="1" customFormat="1" ht="18">
      <c r="F90" s="7"/>
    </row>
    <row r="91" s="1" customFormat="1" ht="18">
      <c r="F91" s="7"/>
    </row>
    <row r="92" s="1" customFormat="1" ht="18">
      <c r="F92" s="7"/>
    </row>
    <row r="93" s="1" customFormat="1" ht="18">
      <c r="F93" s="7"/>
    </row>
    <row r="94" s="1" customFormat="1" ht="18"/>
    <row r="95" s="1" customFormat="1" ht="18"/>
    <row r="96" s="1" customFormat="1" ht="18"/>
    <row r="97" s="1" customFormat="1" ht="18"/>
    <row r="98" s="1" customFormat="1" ht="18"/>
    <row r="99" s="1" customFormat="1" ht="18"/>
    <row r="100" s="1" customFormat="1" ht="18"/>
    <row r="101" s="1" customFormat="1" ht="18"/>
    <row r="102" s="1" customFormat="1" ht="18"/>
    <row r="103" s="1" customFormat="1" ht="18"/>
    <row r="104" s="1" customFormat="1" ht="18"/>
    <row r="105" s="1" customFormat="1" ht="18"/>
    <row r="106" s="1" customFormat="1" ht="18"/>
    <row r="107" s="1" customFormat="1" ht="18"/>
    <row r="108" s="1" customFormat="1" ht="18"/>
    <row r="109" s="1" customFormat="1" ht="18"/>
    <row r="110" s="1" customFormat="1" ht="18"/>
    <row r="111" s="1" customFormat="1" ht="18"/>
    <row r="112" s="1" customFormat="1" ht="18"/>
    <row r="113" s="1" customFormat="1" ht="18"/>
    <row r="114" s="1" customFormat="1" ht="18"/>
    <row r="115" s="1" customFormat="1" ht="18"/>
    <row r="116" s="1" customFormat="1" ht="18"/>
    <row r="117" s="1" customFormat="1" ht="18"/>
    <row r="118" s="1" customFormat="1" ht="18"/>
    <row r="119" s="1" customFormat="1" ht="18"/>
    <row r="120" s="1" customFormat="1" ht="18"/>
    <row r="121" s="1" customFormat="1" ht="18"/>
    <row r="122" s="1" customFormat="1" ht="18"/>
    <row r="123" s="1" customFormat="1" ht="18"/>
    <row r="124" s="1" customFormat="1" ht="18"/>
    <row r="125" s="1" customFormat="1" ht="18"/>
    <row r="126" s="1" customFormat="1" ht="18"/>
    <row r="127" s="1" customFormat="1" ht="18"/>
    <row r="128" s="1" customFormat="1" ht="18"/>
    <row r="129" s="1" customFormat="1" ht="18"/>
    <row r="130" s="1" customFormat="1" ht="18"/>
    <row r="131" s="1" customFormat="1" ht="18"/>
    <row r="132" s="1" customFormat="1" ht="18"/>
    <row r="133" s="1" customFormat="1" ht="18"/>
    <row r="134" s="1" customFormat="1" ht="18"/>
    <row r="135" s="1" customFormat="1" ht="18"/>
    <row r="136" s="1" customFormat="1" ht="18"/>
    <row r="137" s="1" customFormat="1" ht="18"/>
    <row r="138" s="1" customFormat="1" ht="18"/>
    <row r="139" s="1" customFormat="1" ht="18"/>
    <row r="140" s="1" customFormat="1" ht="18"/>
    <row r="141" s="1" customFormat="1" ht="18"/>
    <row r="142" s="1" customFormat="1" ht="18"/>
    <row r="143" s="1" customFormat="1" ht="18"/>
    <row r="144" s="1" customFormat="1" ht="18"/>
    <row r="145" s="1" customFormat="1" ht="18"/>
    <row r="146" s="1" customFormat="1" ht="18"/>
    <row r="147" s="1" customFormat="1" ht="18"/>
    <row r="148" s="1" customFormat="1" ht="18"/>
    <row r="149" s="1" customFormat="1" ht="18"/>
    <row r="150" s="1" customFormat="1" ht="18"/>
    <row r="151" s="1" customFormat="1" ht="18"/>
    <row r="152" s="1" customFormat="1" ht="18"/>
    <row r="153" s="1" customFormat="1" ht="18"/>
    <row r="154" s="1" customFormat="1" ht="18"/>
    <row r="155" s="1" customFormat="1" ht="18"/>
    <row r="156" s="1" customFormat="1" ht="18"/>
    <row r="157" s="1" customFormat="1" ht="18"/>
    <row r="158" s="1" customFormat="1" ht="18"/>
    <row r="159" s="1" customFormat="1" ht="18"/>
    <row r="160" s="1" customFormat="1" ht="18"/>
    <row r="161" s="1" customFormat="1" ht="18"/>
    <row r="162" s="1" customFormat="1" ht="18"/>
    <row r="163" s="1" customFormat="1" ht="18"/>
    <row r="164" s="1" customFormat="1" ht="18"/>
    <row r="165" s="1" customFormat="1" ht="18"/>
    <row r="166" s="1" customFormat="1" ht="18"/>
    <row r="167" s="1" customFormat="1" ht="18"/>
    <row r="168" s="1" customFormat="1" ht="18"/>
    <row r="169" s="1" customFormat="1" ht="18"/>
    <row r="170" s="1" customFormat="1" ht="18"/>
    <row r="171" s="1" customFormat="1" ht="18"/>
    <row r="172" s="1" customFormat="1" ht="18"/>
    <row r="173" s="1" customFormat="1" ht="18"/>
    <row r="174" s="1" customFormat="1" ht="18"/>
    <row r="175" s="1" customFormat="1" ht="18"/>
    <row r="176" s="1" customFormat="1" ht="18"/>
    <row r="177" s="1" customFormat="1" ht="18"/>
    <row r="178" s="1" customFormat="1" ht="18"/>
    <row r="179" s="1" customFormat="1" ht="18"/>
    <row r="180" s="1" customFormat="1" ht="18"/>
    <row r="181" s="1" customFormat="1" ht="18"/>
    <row r="182" s="1" customFormat="1" ht="18"/>
    <row r="183" s="1" customFormat="1" ht="18"/>
    <row r="184" s="1" customFormat="1" ht="18"/>
    <row r="185" s="1" customFormat="1" ht="18"/>
    <row r="186" s="1" customFormat="1" ht="18"/>
    <row r="187" s="1" customFormat="1" ht="18"/>
    <row r="188" s="1" customFormat="1" ht="18"/>
    <row r="189" s="1" customFormat="1" ht="18"/>
    <row r="190" s="1" customFormat="1" ht="18"/>
    <row r="191" s="1" customFormat="1" ht="18"/>
    <row r="192" s="1" customFormat="1" ht="18"/>
    <row r="193" s="1" customFormat="1" ht="18"/>
    <row r="194" s="1" customFormat="1" ht="18"/>
    <row r="195" s="1" customFormat="1" ht="18"/>
    <row r="196" s="1" customFormat="1" ht="18"/>
    <row r="197" s="1" customFormat="1" ht="18"/>
    <row r="198" s="1" customFormat="1" ht="18"/>
    <row r="199" s="1" customFormat="1" ht="18"/>
    <row r="200" s="1" customFormat="1" ht="18"/>
    <row r="201" s="1" customFormat="1" ht="18"/>
    <row r="202" s="1" customFormat="1" ht="18"/>
    <row r="203" s="1" customFormat="1" ht="18"/>
    <row r="204" s="1" customFormat="1" ht="18"/>
    <row r="205" s="1" customFormat="1" ht="18"/>
    <row r="206" s="1" customFormat="1" ht="18"/>
    <row r="207" s="1" customFormat="1" ht="18"/>
    <row r="208" s="1" customFormat="1" ht="18"/>
    <row r="209" s="1" customFormat="1" ht="18"/>
    <row r="210" s="1" customFormat="1" ht="18"/>
    <row r="211" s="1" customFormat="1" ht="18"/>
  </sheetData>
  <printOptions/>
  <pageMargins left="0.75" right="0.75" top="1" bottom="1" header="0.5" footer="0.5"/>
  <pageSetup fitToHeight="1" fitToWidth="1" horizontalDpi="300" verticalDpi="300" orientation="portrait" scale="4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0.57421875" style="0" customWidth="1"/>
    <col min="4" max="4" width="5.28125" style="0" customWidth="1"/>
    <col min="5" max="5" width="13.28125" style="0" customWidth="1"/>
    <col min="6" max="7" width="14.7109375" style="0" customWidth="1"/>
    <col min="8" max="8" width="15.7109375" style="0" customWidth="1"/>
    <col min="9" max="9" width="12.7109375" style="0" customWidth="1"/>
    <col min="10" max="10" width="10.57421875" style="0" bestFit="1" customWidth="1"/>
    <col min="11" max="11" width="9.57421875" style="0" bestFit="1" customWidth="1"/>
    <col min="12" max="12" width="11.28125" style="0" customWidth="1"/>
    <col min="13" max="13" width="5.57421875" style="0" customWidth="1"/>
    <col min="14" max="21" width="11.7109375" style="0" customWidth="1"/>
  </cols>
  <sheetData>
    <row r="1" ht="12.75">
      <c r="A1" t="s">
        <v>186</v>
      </c>
    </row>
    <row r="2" spans="6:23" ht="30.75" thickBot="1">
      <c r="F2" s="95" t="s">
        <v>101</v>
      </c>
      <c r="P2" s="104" t="s">
        <v>63</v>
      </c>
      <c r="Q2" s="105">
        <f>(Q3-$P$3)/$P$3</f>
        <v>0.3333333333333333</v>
      </c>
      <c r="R2" s="105">
        <f aca="true" t="shared" si="0" ref="R2:W2">(R3-$P$3)/$P$3</f>
        <v>0.6666666666666666</v>
      </c>
      <c r="S2" s="105">
        <f t="shared" si="0"/>
        <v>1</v>
      </c>
      <c r="T2" s="105">
        <f t="shared" si="0"/>
        <v>1.3333333333333333</v>
      </c>
      <c r="U2" s="105">
        <f t="shared" si="0"/>
        <v>1.6666666666666667</v>
      </c>
      <c r="V2" s="105">
        <f t="shared" si="0"/>
        <v>2</v>
      </c>
      <c r="W2" s="105">
        <f t="shared" si="0"/>
        <v>2.3333333333333335</v>
      </c>
    </row>
    <row r="3" spans="1:29" ht="18.75" thickBot="1">
      <c r="A3" s="107" t="s">
        <v>126</v>
      </c>
      <c r="B3" s="108"/>
      <c r="C3" s="108"/>
      <c r="D3" s="106"/>
      <c r="E3" s="73"/>
      <c r="F3" s="73"/>
      <c r="G3" s="73"/>
      <c r="P3" s="103">
        <f>E20</f>
        <v>60</v>
      </c>
      <c r="Q3" s="103">
        <f aca="true" t="shared" si="1" ref="Q3:W3">F20</f>
        <v>80</v>
      </c>
      <c r="R3" s="103">
        <f t="shared" si="1"/>
        <v>100</v>
      </c>
      <c r="S3" s="103">
        <f t="shared" si="1"/>
        <v>120</v>
      </c>
      <c r="T3" s="103">
        <f t="shared" si="1"/>
        <v>140</v>
      </c>
      <c r="U3" s="103">
        <f t="shared" si="1"/>
        <v>160</v>
      </c>
      <c r="V3" s="103">
        <f t="shared" si="1"/>
        <v>180</v>
      </c>
      <c r="W3" s="103">
        <f t="shared" si="1"/>
        <v>200</v>
      </c>
      <c r="X3" s="103"/>
      <c r="Y3" s="103"/>
      <c r="Z3" s="103"/>
      <c r="AA3" s="103"/>
      <c r="AB3" s="103"/>
      <c r="AC3" s="103"/>
    </row>
    <row r="4" spans="1:23" ht="15.75">
      <c r="A4" s="87">
        <v>1</v>
      </c>
      <c r="B4" s="43" t="s">
        <v>116</v>
      </c>
      <c r="C4" s="43"/>
      <c r="D4" s="43"/>
      <c r="E4" s="43"/>
      <c r="F4" s="58">
        <v>0</v>
      </c>
      <c r="G4" s="43" t="s">
        <v>107</v>
      </c>
      <c r="H4" s="43"/>
      <c r="N4" s="102" t="s">
        <v>89</v>
      </c>
      <c r="P4" s="88">
        <f aca="true" t="shared" si="2" ref="P4:W4">($A$9*($F$7+$F$12)/2)*(1+$A$6)*(P3/2000)*$A$5</f>
        <v>25.780781249999997</v>
      </c>
      <c r="Q4" s="88">
        <f t="shared" si="2"/>
        <v>34.374375</v>
      </c>
      <c r="R4" s="88">
        <f t="shared" si="2"/>
        <v>42.967968750000004</v>
      </c>
      <c r="S4" s="88">
        <f t="shared" si="2"/>
        <v>51.561562499999994</v>
      </c>
      <c r="T4" s="88">
        <f t="shared" si="2"/>
        <v>60.15515625000001</v>
      </c>
      <c r="U4" s="88">
        <f t="shared" si="2"/>
        <v>68.74875</v>
      </c>
      <c r="V4" s="88">
        <f t="shared" si="2"/>
        <v>77.34234375</v>
      </c>
      <c r="W4" s="88">
        <f t="shared" si="2"/>
        <v>85.93593750000001</v>
      </c>
    </row>
    <row r="5" spans="1:24" ht="15.75">
      <c r="A5" s="87">
        <v>45</v>
      </c>
      <c r="B5" s="43" t="s">
        <v>15</v>
      </c>
      <c r="C5" s="43"/>
      <c r="D5" s="43"/>
      <c r="E5" s="43"/>
      <c r="F5" s="58">
        <f>A5*0.09/365*125</f>
        <v>1.386986301369863</v>
      </c>
      <c r="G5" s="43" t="s">
        <v>113</v>
      </c>
      <c r="H5" s="43"/>
      <c r="J5" s="43"/>
      <c r="N5" s="102" t="s">
        <v>90</v>
      </c>
      <c r="P5" s="88">
        <f>A10+A11+A12+A13+A14+A15+A16+F4+F5+(F6*F7*F10*0.01)</f>
        <v>42.021986301369864</v>
      </c>
      <c r="Q5" s="57">
        <f>$P$5</f>
        <v>42.021986301369864</v>
      </c>
      <c r="R5" s="57">
        <f aca="true" t="shared" si="3" ref="R5:W5">$P$5</f>
        <v>42.021986301369864</v>
      </c>
      <c r="S5" s="57">
        <f t="shared" si="3"/>
        <v>42.021986301369864</v>
      </c>
      <c r="T5" s="57">
        <f t="shared" si="3"/>
        <v>42.021986301369864</v>
      </c>
      <c r="U5" s="57">
        <f t="shared" si="3"/>
        <v>42.021986301369864</v>
      </c>
      <c r="V5" s="57">
        <f t="shared" si="3"/>
        <v>42.021986301369864</v>
      </c>
      <c r="W5" s="57">
        <f t="shared" si="3"/>
        <v>42.021986301369864</v>
      </c>
      <c r="X5" s="57"/>
    </row>
    <row r="6" spans="1:23" ht="15.75">
      <c r="A6" s="86">
        <v>0.05</v>
      </c>
      <c r="B6" s="43" t="s">
        <v>123</v>
      </c>
      <c r="C6" s="43"/>
      <c r="D6" s="43"/>
      <c r="E6" s="43"/>
      <c r="F6" s="86">
        <v>0.005</v>
      </c>
      <c r="G6" s="43" t="s">
        <v>21</v>
      </c>
      <c r="H6" s="43"/>
      <c r="J6" s="43"/>
      <c r="N6" s="102" t="s">
        <v>91</v>
      </c>
      <c r="P6" s="88">
        <f>P4+P5</f>
        <v>67.80276755136987</v>
      </c>
      <c r="Q6" s="88">
        <f aca="true" t="shared" si="4" ref="Q6:W6">Q4+Q5</f>
        <v>76.39636130136986</v>
      </c>
      <c r="R6" s="88">
        <f t="shared" si="4"/>
        <v>84.98995505136986</v>
      </c>
      <c r="S6" s="88">
        <f t="shared" si="4"/>
        <v>93.58354880136986</v>
      </c>
      <c r="T6" s="88">
        <f t="shared" si="4"/>
        <v>102.17714255136988</v>
      </c>
      <c r="U6" s="88">
        <f t="shared" si="4"/>
        <v>110.77073630136987</v>
      </c>
      <c r="V6" s="88">
        <f t="shared" si="4"/>
        <v>119.36433005136986</v>
      </c>
      <c r="W6" s="88">
        <f t="shared" si="4"/>
        <v>127.95792380136987</v>
      </c>
    </row>
    <row r="7" spans="1:23" ht="15.75">
      <c r="A7" s="58">
        <v>60</v>
      </c>
      <c r="B7" s="43" t="s">
        <v>82</v>
      </c>
      <c r="C7" s="43"/>
      <c r="D7" s="43"/>
      <c r="E7" s="43"/>
      <c r="F7" s="87">
        <v>550</v>
      </c>
      <c r="G7" s="43" t="s">
        <v>92</v>
      </c>
      <c r="J7" s="43"/>
      <c r="N7" s="102" t="s">
        <v>118</v>
      </c>
      <c r="P7" s="104" t="s">
        <v>63</v>
      </c>
      <c r="Q7" s="105">
        <f>(Q6-$P$6)/$P$6</f>
        <v>0.12674399674746573</v>
      </c>
      <c r="R7" s="105">
        <f aca="true" t="shared" si="5" ref="R7:W7">(R6-$P$6)/$P$6</f>
        <v>0.25348799349493145</v>
      </c>
      <c r="S7" s="105">
        <f t="shared" si="5"/>
        <v>0.3802319902423971</v>
      </c>
      <c r="T7" s="105">
        <f t="shared" si="5"/>
        <v>0.5069759869898632</v>
      </c>
      <c r="U7" s="105">
        <f t="shared" si="5"/>
        <v>0.6337199837373287</v>
      </c>
      <c r="V7" s="105">
        <f t="shared" si="5"/>
        <v>0.7604639804847945</v>
      </c>
      <c r="W7" s="105">
        <f t="shared" si="5"/>
        <v>0.8872079772322604</v>
      </c>
    </row>
    <row r="8" spans="1:10" ht="15.75">
      <c r="A8" s="58">
        <v>20</v>
      </c>
      <c r="B8" s="43" t="s">
        <v>83</v>
      </c>
      <c r="C8" s="43"/>
      <c r="D8" s="43"/>
      <c r="E8" s="43"/>
      <c r="F8" s="89">
        <v>0.1</v>
      </c>
      <c r="G8" s="43" t="s">
        <v>94</v>
      </c>
      <c r="J8" s="43"/>
    </row>
    <row r="9" spans="1:17" ht="15.75">
      <c r="A9" s="86">
        <v>0.03</v>
      </c>
      <c r="B9" s="43" t="s">
        <v>86</v>
      </c>
      <c r="C9" s="43"/>
      <c r="D9" s="43"/>
      <c r="E9" s="43"/>
      <c r="F9" s="43">
        <f>F7*(1-F8)</f>
        <v>495</v>
      </c>
      <c r="G9" s="43" t="s">
        <v>93</v>
      </c>
      <c r="H9" s="43"/>
      <c r="J9" s="43"/>
      <c r="N9" s="60"/>
      <c r="O9" s="93"/>
      <c r="P9" s="79"/>
      <c r="Q9" s="60"/>
    </row>
    <row r="10" spans="1:17" ht="15.75">
      <c r="A10" s="58">
        <v>8</v>
      </c>
      <c r="B10" s="43" t="s">
        <v>102</v>
      </c>
      <c r="C10" s="43"/>
      <c r="D10" s="43"/>
      <c r="E10" s="43"/>
      <c r="F10" s="58">
        <v>114</v>
      </c>
      <c r="G10" s="43" t="s">
        <v>61</v>
      </c>
      <c r="H10" s="43"/>
      <c r="J10" s="43"/>
      <c r="O10" s="60"/>
      <c r="P10" s="60"/>
      <c r="Q10" s="60"/>
    </row>
    <row r="11" spans="1:17" ht="15.75">
      <c r="A11" s="58">
        <v>8</v>
      </c>
      <c r="B11" s="43" t="s">
        <v>87</v>
      </c>
      <c r="C11" s="43"/>
      <c r="D11" s="43"/>
      <c r="E11" s="43"/>
      <c r="F11" s="91">
        <v>2.5</v>
      </c>
      <c r="G11" s="43" t="s">
        <v>23</v>
      </c>
      <c r="H11" s="43"/>
      <c r="J11" s="43"/>
      <c r="O11" s="92"/>
      <c r="P11" s="60"/>
      <c r="Q11" s="60"/>
    </row>
    <row r="12" spans="1:17" ht="15.75">
      <c r="A12" s="58">
        <v>11</v>
      </c>
      <c r="B12" s="43" t="s">
        <v>103</v>
      </c>
      <c r="C12" s="43"/>
      <c r="D12" s="43"/>
      <c r="E12" s="43"/>
      <c r="F12" s="85">
        <f>A5*F11+F7</f>
        <v>662.5</v>
      </c>
      <c r="G12" s="43" t="s">
        <v>97</v>
      </c>
      <c r="H12" s="43"/>
      <c r="J12" s="43"/>
      <c r="O12" s="92"/>
      <c r="P12" s="60"/>
      <c r="Q12" s="60"/>
    </row>
    <row r="13" spans="1:8" ht="16.5" customHeight="1">
      <c r="A13" s="58">
        <v>1.5</v>
      </c>
      <c r="B13" s="43" t="s">
        <v>104</v>
      </c>
      <c r="C13" s="43"/>
      <c r="D13" s="43"/>
      <c r="E13" s="43"/>
      <c r="F13" s="86">
        <v>0.05</v>
      </c>
      <c r="G13" s="43" t="s">
        <v>95</v>
      </c>
      <c r="H13" s="43"/>
    </row>
    <row r="14" spans="1:8" ht="17.25" customHeight="1">
      <c r="A14" s="58">
        <v>3</v>
      </c>
      <c r="B14" s="43" t="s">
        <v>105</v>
      </c>
      <c r="C14" s="43"/>
      <c r="D14" s="43"/>
      <c r="E14" s="43"/>
      <c r="F14" s="85">
        <f>F12*(1-F13)</f>
        <v>629.375</v>
      </c>
      <c r="G14" s="43" t="s">
        <v>98</v>
      </c>
      <c r="H14" s="43"/>
    </row>
    <row r="15" spans="1:8" ht="17.25" customHeight="1">
      <c r="A15" s="58">
        <v>3</v>
      </c>
      <c r="B15" s="43" t="s">
        <v>106</v>
      </c>
      <c r="C15" s="43"/>
      <c r="D15" s="43"/>
      <c r="E15" s="43"/>
      <c r="F15" s="58">
        <v>104</v>
      </c>
      <c r="G15" s="43" t="s">
        <v>62</v>
      </c>
      <c r="H15" s="43"/>
    </row>
    <row r="16" spans="1:17" ht="17.25" customHeight="1">
      <c r="A16" s="58">
        <v>3</v>
      </c>
      <c r="B16" s="43" t="s">
        <v>112</v>
      </c>
      <c r="C16" s="43"/>
      <c r="D16" s="43"/>
      <c r="E16" s="43"/>
      <c r="F16" s="91"/>
      <c r="G16" s="43"/>
      <c r="P16" s="49"/>
      <c r="Q16" s="43"/>
    </row>
    <row r="18" spans="1:14" ht="12.75">
      <c r="A18" s="78" t="s">
        <v>84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1:14" ht="12.75">
      <c r="A19" s="60" t="s">
        <v>80</v>
      </c>
      <c r="B19" s="60" t="s">
        <v>81</v>
      </c>
      <c r="C19" s="60" t="s">
        <v>77</v>
      </c>
      <c r="D19" s="79"/>
      <c r="E19" s="80" t="s">
        <v>119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4" ht="12.75">
      <c r="A20" s="83" t="s">
        <v>77</v>
      </c>
      <c r="B20" s="83" t="s">
        <v>77</v>
      </c>
      <c r="C20" s="83" t="s">
        <v>96</v>
      </c>
      <c r="D20" s="78"/>
      <c r="E20" s="82">
        <f>A7</f>
        <v>60</v>
      </c>
      <c r="F20" s="82">
        <f>E20+$A$8</f>
        <v>80</v>
      </c>
      <c r="G20" s="82">
        <f aca="true" t="shared" si="6" ref="G20:L20">F20+$A$8</f>
        <v>100</v>
      </c>
      <c r="H20" s="82">
        <f t="shared" si="6"/>
        <v>120</v>
      </c>
      <c r="I20" s="82">
        <f t="shared" si="6"/>
        <v>140</v>
      </c>
      <c r="J20" s="82">
        <f t="shared" si="6"/>
        <v>160</v>
      </c>
      <c r="K20" s="82">
        <f t="shared" si="6"/>
        <v>180</v>
      </c>
      <c r="L20" s="82">
        <f t="shared" si="6"/>
        <v>200</v>
      </c>
      <c r="M20" s="78"/>
      <c r="N20" s="78"/>
    </row>
    <row r="21" spans="1:14" ht="12.75">
      <c r="A21" s="84" t="s">
        <v>79</v>
      </c>
      <c r="B21" s="84" t="s">
        <v>79</v>
      </c>
      <c r="C21" s="84" t="s">
        <v>79</v>
      </c>
      <c r="D21" s="79"/>
      <c r="E21" s="80" t="s">
        <v>88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15.75">
      <c r="A22" s="43"/>
      <c r="B22" s="43"/>
      <c r="C22" s="79"/>
      <c r="D22" s="79"/>
      <c r="E22" s="90"/>
      <c r="F22" s="79"/>
      <c r="G22" s="79"/>
      <c r="H22" s="79"/>
      <c r="I22" s="79"/>
      <c r="J22" s="79"/>
      <c r="K22" s="79"/>
      <c r="L22" s="79"/>
      <c r="M22" s="79"/>
      <c r="N22" s="79"/>
    </row>
    <row r="23" spans="1:17" ht="15.75">
      <c r="A23" s="44">
        <f>F10</f>
        <v>114</v>
      </c>
      <c r="B23" s="44">
        <f aca="true" t="shared" si="7" ref="B23:B37">$F$15</f>
        <v>104</v>
      </c>
      <c r="C23" s="44">
        <f>B23-A23</f>
        <v>-10</v>
      </c>
      <c r="D23" s="43"/>
      <c r="E23" s="94">
        <f aca="true" t="shared" si="8" ref="E23:L37">(($B23*$F$14*0.01)-($A23*$F$9*0.01)-$P$5-(($A$9*($F$7+$F$12)/2)*(1+$A$6)*(E$20/2000)*$A$5))*$A$4</f>
        <v>22.44723244863014</v>
      </c>
      <c r="F23" s="94">
        <f t="shared" si="8"/>
        <v>13.853638698630135</v>
      </c>
      <c r="G23" s="94">
        <f t="shared" si="8"/>
        <v>5.2600449486301315</v>
      </c>
      <c r="H23" s="94">
        <f t="shared" si="8"/>
        <v>-3.333548801369858</v>
      </c>
      <c r="I23" s="94">
        <f t="shared" si="8"/>
        <v>-11.927142551369876</v>
      </c>
      <c r="J23" s="94">
        <f t="shared" si="8"/>
        <v>-20.520736301369865</v>
      </c>
      <c r="K23" s="94">
        <f t="shared" si="8"/>
        <v>-29.114330051369862</v>
      </c>
      <c r="L23" s="94">
        <f t="shared" si="8"/>
        <v>-37.70792380136987</v>
      </c>
      <c r="M23" s="79"/>
      <c r="N23" s="79"/>
      <c r="O23" s="57" t="e">
        <f>#REF!-E23</f>
        <v>#REF!</v>
      </c>
      <c r="P23" s="57" t="e">
        <f>#REF!-F23</f>
        <v>#REF!</v>
      </c>
      <c r="Q23" s="57" t="e">
        <f>#REF!-G23</f>
        <v>#REF!</v>
      </c>
    </row>
    <row r="24" spans="1:14" ht="15.75">
      <c r="A24" s="44">
        <f>A23-1</f>
        <v>113</v>
      </c>
      <c r="B24" s="44">
        <f t="shared" si="7"/>
        <v>104</v>
      </c>
      <c r="C24" s="44">
        <f aca="true" t="shared" si="9" ref="C24:C37">B24-A24</f>
        <v>-9</v>
      </c>
      <c r="D24" s="43"/>
      <c r="E24" s="94">
        <f t="shared" si="8"/>
        <v>27.397232448630184</v>
      </c>
      <c r="F24" s="94">
        <f t="shared" si="8"/>
        <v>18.80363869863018</v>
      </c>
      <c r="G24" s="94">
        <f t="shared" si="8"/>
        <v>10.210044948630177</v>
      </c>
      <c r="H24" s="94">
        <f t="shared" si="8"/>
        <v>1.6164511986301875</v>
      </c>
      <c r="I24" s="94">
        <f t="shared" si="8"/>
        <v>-6.97714255136983</v>
      </c>
      <c r="J24" s="94">
        <f t="shared" si="8"/>
        <v>-15.57073630136982</v>
      </c>
      <c r="K24" s="94">
        <f t="shared" si="8"/>
        <v>-24.164330051369816</v>
      </c>
      <c r="L24" s="94">
        <f t="shared" si="8"/>
        <v>-32.75792380136983</v>
      </c>
      <c r="M24" s="79"/>
      <c r="N24" s="79"/>
    </row>
    <row r="25" spans="1:14" ht="15.75">
      <c r="A25" s="44">
        <f aca="true" t="shared" si="10" ref="A25:A37">A24-1</f>
        <v>112</v>
      </c>
      <c r="B25" s="44">
        <f t="shared" si="7"/>
        <v>104</v>
      </c>
      <c r="C25" s="44">
        <f t="shared" si="9"/>
        <v>-8</v>
      </c>
      <c r="D25" s="43"/>
      <c r="E25" s="94">
        <f t="shared" si="8"/>
        <v>32.34723244863023</v>
      </c>
      <c r="F25" s="94">
        <f t="shared" si="8"/>
        <v>23.753638698630226</v>
      </c>
      <c r="G25" s="94">
        <f t="shared" si="8"/>
        <v>15.160044948630222</v>
      </c>
      <c r="H25" s="94">
        <f t="shared" si="8"/>
        <v>6.566451198630233</v>
      </c>
      <c r="I25" s="94">
        <f t="shared" si="8"/>
        <v>-2.027142551369785</v>
      </c>
      <c r="J25" s="94">
        <f t="shared" si="8"/>
        <v>-10.620736301369774</v>
      </c>
      <c r="K25" s="94">
        <f t="shared" si="8"/>
        <v>-19.21433005136977</v>
      </c>
      <c r="L25" s="94">
        <f t="shared" si="8"/>
        <v>-27.807923801369782</v>
      </c>
      <c r="M25" s="79"/>
      <c r="N25" s="79"/>
    </row>
    <row r="26" spans="1:14" ht="15.75">
      <c r="A26" s="44">
        <f t="shared" si="10"/>
        <v>111</v>
      </c>
      <c r="B26" s="44">
        <f t="shared" si="7"/>
        <v>104</v>
      </c>
      <c r="C26" s="44">
        <f t="shared" si="9"/>
        <v>-7</v>
      </c>
      <c r="D26" s="43"/>
      <c r="E26" s="94">
        <f t="shared" si="8"/>
        <v>37.29723244863016</v>
      </c>
      <c r="F26" s="94">
        <f t="shared" si="8"/>
        <v>28.703638698630158</v>
      </c>
      <c r="G26" s="94">
        <f t="shared" si="8"/>
        <v>20.110044948630154</v>
      </c>
      <c r="H26" s="94">
        <f t="shared" si="8"/>
        <v>11.516451198630165</v>
      </c>
      <c r="I26" s="94">
        <f t="shared" si="8"/>
        <v>2.922857448630147</v>
      </c>
      <c r="J26" s="94">
        <f t="shared" si="8"/>
        <v>-5.670736301369843</v>
      </c>
      <c r="K26" s="94">
        <f t="shared" si="8"/>
        <v>-14.26433005136984</v>
      </c>
      <c r="L26" s="94">
        <f t="shared" si="8"/>
        <v>-22.85792380136985</v>
      </c>
      <c r="M26" s="79"/>
      <c r="N26" s="79"/>
    </row>
    <row r="27" spans="1:14" ht="15.75">
      <c r="A27" s="44">
        <f t="shared" si="10"/>
        <v>110</v>
      </c>
      <c r="B27" s="44">
        <f t="shared" si="7"/>
        <v>104</v>
      </c>
      <c r="C27" s="44">
        <f t="shared" si="9"/>
        <v>-6</v>
      </c>
      <c r="D27" s="43"/>
      <c r="E27" s="94">
        <f t="shared" si="8"/>
        <v>42.24723244863021</v>
      </c>
      <c r="F27" s="94">
        <f t="shared" si="8"/>
        <v>33.6536386986302</v>
      </c>
      <c r="G27" s="94">
        <f t="shared" si="8"/>
        <v>25.0600449486302</v>
      </c>
      <c r="H27" s="94">
        <f t="shared" si="8"/>
        <v>16.46645119863021</v>
      </c>
      <c r="I27" s="94">
        <f t="shared" si="8"/>
        <v>7.872857448630192</v>
      </c>
      <c r="J27" s="94">
        <f t="shared" si="8"/>
        <v>-0.7207363013697972</v>
      </c>
      <c r="K27" s="94">
        <f t="shared" si="8"/>
        <v>-9.314330051369794</v>
      </c>
      <c r="L27" s="94">
        <f t="shared" si="8"/>
        <v>-17.907923801369805</v>
      </c>
      <c r="M27" s="79"/>
      <c r="N27" s="79"/>
    </row>
    <row r="28" spans="1:14" ht="15.75">
      <c r="A28" s="44">
        <f t="shared" si="10"/>
        <v>109</v>
      </c>
      <c r="B28" s="44">
        <f t="shared" si="7"/>
        <v>104</v>
      </c>
      <c r="C28" s="44">
        <f t="shared" si="9"/>
        <v>-5</v>
      </c>
      <c r="D28" s="43"/>
      <c r="E28" s="94">
        <f t="shared" si="8"/>
        <v>47.19723244863025</v>
      </c>
      <c r="F28" s="94">
        <f t="shared" si="8"/>
        <v>38.60363869863025</v>
      </c>
      <c r="G28" s="94">
        <f t="shared" si="8"/>
        <v>30.010044948630245</v>
      </c>
      <c r="H28" s="94">
        <f t="shared" si="8"/>
        <v>21.416451198630256</v>
      </c>
      <c r="I28" s="94">
        <f t="shared" si="8"/>
        <v>12.822857448630238</v>
      </c>
      <c r="J28" s="94">
        <f t="shared" si="8"/>
        <v>4.229263698630248</v>
      </c>
      <c r="K28" s="94">
        <f t="shared" si="8"/>
        <v>-4.364330051369748</v>
      </c>
      <c r="L28" s="94">
        <f t="shared" si="8"/>
        <v>-12.957923801369759</v>
      </c>
      <c r="M28" s="79"/>
      <c r="N28" s="79"/>
    </row>
    <row r="29" spans="1:14" ht="15.75">
      <c r="A29" s="44">
        <f t="shared" si="10"/>
        <v>108</v>
      </c>
      <c r="B29" s="44">
        <f t="shared" si="7"/>
        <v>104</v>
      </c>
      <c r="C29" s="44">
        <f t="shared" si="9"/>
        <v>-4</v>
      </c>
      <c r="D29" s="43"/>
      <c r="E29" s="94">
        <f t="shared" si="8"/>
        <v>52.147232448630184</v>
      </c>
      <c r="F29" s="94">
        <f t="shared" si="8"/>
        <v>43.55363869863018</v>
      </c>
      <c r="G29" s="94">
        <f t="shared" si="8"/>
        <v>34.96004494863018</v>
      </c>
      <c r="H29" s="94">
        <f t="shared" si="8"/>
        <v>26.366451198630187</v>
      </c>
      <c r="I29" s="94">
        <f t="shared" si="8"/>
        <v>17.77285744863017</v>
      </c>
      <c r="J29" s="94">
        <f t="shared" si="8"/>
        <v>9.17926369863018</v>
      </c>
      <c r="K29" s="94">
        <f t="shared" si="8"/>
        <v>0.5856699486301835</v>
      </c>
      <c r="L29" s="94">
        <f t="shared" si="8"/>
        <v>-8.007923801369827</v>
      </c>
      <c r="M29" s="79"/>
      <c r="N29" s="79"/>
    </row>
    <row r="30" spans="1:14" ht="15.75">
      <c r="A30" s="44">
        <f t="shared" si="10"/>
        <v>107</v>
      </c>
      <c r="B30" s="44">
        <f t="shared" si="7"/>
        <v>104</v>
      </c>
      <c r="C30" s="44">
        <f t="shared" si="9"/>
        <v>-3</v>
      </c>
      <c r="D30" s="43"/>
      <c r="E30" s="94">
        <f t="shared" si="8"/>
        <v>57.09723244863023</v>
      </c>
      <c r="F30" s="94">
        <f t="shared" si="8"/>
        <v>48.503638698630226</v>
      </c>
      <c r="G30" s="94">
        <f t="shared" si="8"/>
        <v>39.91004494863022</v>
      </c>
      <c r="H30" s="94">
        <f t="shared" si="8"/>
        <v>31.316451198630233</v>
      </c>
      <c r="I30" s="94">
        <f t="shared" si="8"/>
        <v>22.722857448630215</v>
      </c>
      <c r="J30" s="94">
        <f t="shared" si="8"/>
        <v>14.129263698630226</v>
      </c>
      <c r="K30" s="94">
        <f t="shared" si="8"/>
        <v>5.535669948630229</v>
      </c>
      <c r="L30" s="94">
        <f t="shared" si="8"/>
        <v>-3.057923801369782</v>
      </c>
      <c r="M30" s="79"/>
      <c r="N30" s="79"/>
    </row>
    <row r="31" spans="1:14" ht="15.75">
      <c r="A31" s="44">
        <f t="shared" si="10"/>
        <v>106</v>
      </c>
      <c r="B31" s="44">
        <f t="shared" si="7"/>
        <v>104</v>
      </c>
      <c r="C31" s="44">
        <f t="shared" si="9"/>
        <v>-2</v>
      </c>
      <c r="D31" s="43"/>
      <c r="E31" s="94">
        <f t="shared" si="8"/>
        <v>62.04723244863016</v>
      </c>
      <c r="F31" s="94">
        <f t="shared" si="8"/>
        <v>53.45363869863016</v>
      </c>
      <c r="G31" s="94">
        <f t="shared" si="8"/>
        <v>44.860044948630154</v>
      </c>
      <c r="H31" s="94">
        <f t="shared" si="8"/>
        <v>36.266451198630165</v>
      </c>
      <c r="I31" s="94">
        <f t="shared" si="8"/>
        <v>27.672857448630147</v>
      </c>
      <c r="J31" s="94">
        <f t="shared" si="8"/>
        <v>19.079263698630157</v>
      </c>
      <c r="K31" s="94">
        <f t="shared" si="8"/>
        <v>10.48566994863016</v>
      </c>
      <c r="L31" s="94">
        <f t="shared" si="8"/>
        <v>1.89207619863015</v>
      </c>
      <c r="M31" s="79"/>
      <c r="N31" s="79"/>
    </row>
    <row r="32" spans="1:14" ht="15.75">
      <c r="A32" s="44">
        <f t="shared" si="10"/>
        <v>105</v>
      </c>
      <c r="B32" s="44">
        <f t="shared" si="7"/>
        <v>104</v>
      </c>
      <c r="C32" s="44">
        <f t="shared" si="9"/>
        <v>-1</v>
      </c>
      <c r="D32" s="43"/>
      <c r="E32" s="94">
        <f t="shared" si="8"/>
        <v>66.9972324486302</v>
      </c>
      <c r="F32" s="94">
        <f t="shared" si="8"/>
        <v>58.4036386986302</v>
      </c>
      <c r="G32" s="94">
        <f t="shared" si="8"/>
        <v>49.8100449486302</v>
      </c>
      <c r="H32" s="94">
        <f t="shared" si="8"/>
        <v>41.21645119863021</v>
      </c>
      <c r="I32" s="94">
        <f t="shared" si="8"/>
        <v>32.62285744863019</v>
      </c>
      <c r="J32" s="94">
        <f t="shared" si="8"/>
        <v>24.029263698630203</v>
      </c>
      <c r="K32" s="94">
        <f t="shared" si="8"/>
        <v>15.435669948630206</v>
      </c>
      <c r="L32" s="94">
        <f t="shared" si="8"/>
        <v>6.8420761986301954</v>
      </c>
      <c r="M32" s="79"/>
      <c r="N32" s="79"/>
    </row>
    <row r="33" spans="1:14" ht="15.75">
      <c r="A33" s="44">
        <f t="shared" si="10"/>
        <v>104</v>
      </c>
      <c r="B33" s="44">
        <f t="shared" si="7"/>
        <v>104</v>
      </c>
      <c r="C33" s="44">
        <f t="shared" si="9"/>
        <v>0</v>
      </c>
      <c r="D33" s="43"/>
      <c r="E33" s="94">
        <f t="shared" si="8"/>
        <v>71.94723244863025</v>
      </c>
      <c r="F33" s="94">
        <f t="shared" si="8"/>
        <v>63.35363869863025</v>
      </c>
      <c r="G33" s="94">
        <f t="shared" si="8"/>
        <v>54.760044948630245</v>
      </c>
      <c r="H33" s="94">
        <f t="shared" si="8"/>
        <v>46.166451198630256</v>
      </c>
      <c r="I33" s="94">
        <f t="shared" si="8"/>
        <v>37.57285744863024</v>
      </c>
      <c r="J33" s="94">
        <f t="shared" si="8"/>
        <v>28.97926369863025</v>
      </c>
      <c r="K33" s="94">
        <f t="shared" si="8"/>
        <v>20.38566994863025</v>
      </c>
      <c r="L33" s="94">
        <f t="shared" si="8"/>
        <v>11.792076198630241</v>
      </c>
      <c r="M33" s="79"/>
      <c r="N33" s="79"/>
    </row>
    <row r="34" spans="1:14" ht="15.75">
      <c r="A34" s="44">
        <f t="shared" si="10"/>
        <v>103</v>
      </c>
      <c r="B34" s="44">
        <f t="shared" si="7"/>
        <v>104</v>
      </c>
      <c r="C34" s="44">
        <f t="shared" si="9"/>
        <v>1</v>
      </c>
      <c r="D34" s="43"/>
      <c r="E34" s="94">
        <f t="shared" si="8"/>
        <v>76.89723244863018</v>
      </c>
      <c r="F34" s="94">
        <f t="shared" si="8"/>
        <v>68.30363869863018</v>
      </c>
      <c r="G34" s="94">
        <f t="shared" si="8"/>
        <v>59.71004494863018</v>
      </c>
      <c r="H34" s="94">
        <f t="shared" si="8"/>
        <v>51.11645119863019</v>
      </c>
      <c r="I34" s="94">
        <f t="shared" si="8"/>
        <v>42.52285744863017</v>
      </c>
      <c r="J34" s="94">
        <f t="shared" si="8"/>
        <v>33.92926369863018</v>
      </c>
      <c r="K34" s="94">
        <f t="shared" si="8"/>
        <v>25.335669948630184</v>
      </c>
      <c r="L34" s="94">
        <f t="shared" si="8"/>
        <v>16.742076198630173</v>
      </c>
      <c r="M34" s="79"/>
      <c r="N34" s="79"/>
    </row>
    <row r="35" spans="1:14" ht="15.75">
      <c r="A35" s="44">
        <f t="shared" si="10"/>
        <v>102</v>
      </c>
      <c r="B35" s="44">
        <f t="shared" si="7"/>
        <v>104</v>
      </c>
      <c r="C35" s="44">
        <f t="shared" si="9"/>
        <v>2</v>
      </c>
      <c r="D35" s="43"/>
      <c r="E35" s="94">
        <f t="shared" si="8"/>
        <v>81.84723244863017</v>
      </c>
      <c r="F35" s="94">
        <f t="shared" si="8"/>
        <v>73.25363869863017</v>
      </c>
      <c r="G35" s="94">
        <f t="shared" si="8"/>
        <v>64.66004494863017</v>
      </c>
      <c r="H35" s="94">
        <f t="shared" si="8"/>
        <v>56.066451198630176</v>
      </c>
      <c r="I35" s="94">
        <f t="shared" si="8"/>
        <v>47.47285744863016</v>
      </c>
      <c r="J35" s="94">
        <f t="shared" si="8"/>
        <v>38.87926369863017</v>
      </c>
      <c r="K35" s="94">
        <f t="shared" si="8"/>
        <v>30.285669948630172</v>
      </c>
      <c r="L35" s="94">
        <f t="shared" si="8"/>
        <v>21.69207619863016</v>
      </c>
      <c r="M35" s="79"/>
      <c r="N35" s="79"/>
    </row>
    <row r="36" spans="1:14" ht="15.75">
      <c r="A36" s="44">
        <f t="shared" si="10"/>
        <v>101</v>
      </c>
      <c r="B36" s="44">
        <f t="shared" si="7"/>
        <v>104</v>
      </c>
      <c r="C36" s="44">
        <f t="shared" si="9"/>
        <v>3</v>
      </c>
      <c r="D36" s="43"/>
      <c r="E36" s="94">
        <f t="shared" si="8"/>
        <v>86.79723244863021</v>
      </c>
      <c r="F36" s="94">
        <f t="shared" si="8"/>
        <v>78.20363869863021</v>
      </c>
      <c r="G36" s="94">
        <f t="shared" si="8"/>
        <v>69.61004494863022</v>
      </c>
      <c r="H36" s="94">
        <f t="shared" si="8"/>
        <v>61.01645119863022</v>
      </c>
      <c r="I36" s="94">
        <f t="shared" si="8"/>
        <v>52.422857448630204</v>
      </c>
      <c r="J36" s="94">
        <f t="shared" si="8"/>
        <v>43.829263698630214</v>
      </c>
      <c r="K36" s="94">
        <f t="shared" si="8"/>
        <v>35.23566994863022</v>
      </c>
      <c r="L36" s="94">
        <f t="shared" si="8"/>
        <v>26.642076198630207</v>
      </c>
      <c r="M36" s="79"/>
      <c r="N36" s="79"/>
    </row>
    <row r="37" spans="1:14" ht="15.75">
      <c r="A37" s="44">
        <f t="shared" si="10"/>
        <v>100</v>
      </c>
      <c r="B37" s="44">
        <f t="shared" si="7"/>
        <v>104</v>
      </c>
      <c r="C37" s="44">
        <f t="shared" si="9"/>
        <v>4</v>
      </c>
      <c r="D37" s="43"/>
      <c r="E37" s="94">
        <f t="shared" si="8"/>
        <v>91.7472324486302</v>
      </c>
      <c r="F37" s="94">
        <f t="shared" si="8"/>
        <v>83.1536386986302</v>
      </c>
      <c r="G37" s="94">
        <f t="shared" si="8"/>
        <v>74.5600449486302</v>
      </c>
      <c r="H37" s="94">
        <f t="shared" si="8"/>
        <v>65.96645119863021</v>
      </c>
      <c r="I37" s="94">
        <f t="shared" si="8"/>
        <v>57.37285744863019</v>
      </c>
      <c r="J37" s="94">
        <f t="shared" si="8"/>
        <v>48.7792636986302</v>
      </c>
      <c r="K37" s="94">
        <f t="shared" si="8"/>
        <v>40.185669948630206</v>
      </c>
      <c r="L37" s="94">
        <f t="shared" si="8"/>
        <v>31.592076198630195</v>
      </c>
      <c r="M37" s="79"/>
      <c r="N37" s="79"/>
    </row>
    <row r="38" spans="1:14" ht="15.75">
      <c r="A38" s="96"/>
      <c r="B38" s="97"/>
      <c r="C38" s="97"/>
      <c r="D38" s="97"/>
      <c r="E38" s="97"/>
      <c r="F38" s="78"/>
      <c r="G38" s="78"/>
      <c r="H38" s="78"/>
      <c r="I38" s="78"/>
      <c r="J38" s="78"/>
      <c r="K38" s="78"/>
      <c r="L38" s="78"/>
      <c r="M38" s="79"/>
      <c r="N38" s="79"/>
    </row>
    <row r="39" spans="1:14" ht="15.75">
      <c r="A39" s="44"/>
      <c r="B39" s="43"/>
      <c r="C39" s="43"/>
      <c r="D39" s="43"/>
      <c r="E39" s="43"/>
      <c r="F39" s="79"/>
      <c r="G39" s="79"/>
      <c r="H39" s="79"/>
      <c r="I39" s="79"/>
      <c r="J39" s="79"/>
      <c r="K39" s="79"/>
      <c r="L39" s="79"/>
      <c r="M39" s="79"/>
      <c r="N39" s="79"/>
    </row>
    <row r="40" spans="1:14" ht="12.75">
      <c r="A40" s="57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12.75">
      <c r="A41" s="57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4" s="1" customFormat="1" ht="18"/>
    <row r="45" s="1" customFormat="1" ht="18"/>
    <row r="46" s="1" customFormat="1" ht="18"/>
    <row r="47" s="1" customFormat="1" ht="18"/>
    <row r="48" s="1" customFormat="1" ht="18"/>
    <row r="49" s="1" customFormat="1" ht="18"/>
    <row r="50" s="1" customFormat="1" ht="18"/>
    <row r="51" s="1" customFormat="1" ht="18"/>
    <row r="52" s="1" customFormat="1" ht="18"/>
    <row r="53" s="1" customFormat="1" ht="18"/>
    <row r="54" s="1" customFormat="1" ht="18"/>
    <row r="55" s="1" customFormat="1" ht="18"/>
    <row r="56" s="1" customFormat="1" ht="18"/>
    <row r="57" s="1" customFormat="1" ht="18"/>
    <row r="58" s="1" customFormat="1" ht="18"/>
    <row r="59" s="1" customFormat="1" ht="18"/>
    <row r="60" s="1" customFormat="1" ht="18"/>
    <row r="61" s="1" customFormat="1" ht="18"/>
    <row r="62" s="1" customFormat="1" ht="18"/>
    <row r="63" s="1" customFormat="1" ht="18"/>
    <row r="64" s="1" customFormat="1" ht="18"/>
    <row r="65" s="1" customFormat="1" ht="18"/>
    <row r="66" s="1" customFormat="1" ht="18"/>
    <row r="67" s="1" customFormat="1" ht="18"/>
    <row r="68" s="1" customFormat="1" ht="18"/>
    <row r="69" s="1" customFormat="1" ht="18"/>
    <row r="70" s="1" customFormat="1" ht="18"/>
    <row r="71" s="1" customFormat="1" ht="18"/>
    <row r="72" s="1" customFormat="1" ht="18"/>
    <row r="73" s="1" customFormat="1" ht="18"/>
    <row r="74" s="1" customFormat="1" ht="18"/>
    <row r="75" s="1" customFormat="1" ht="18"/>
    <row r="76" s="1" customFormat="1" ht="18"/>
    <row r="77" s="1" customFormat="1" ht="18"/>
    <row r="78" s="1" customFormat="1" ht="18"/>
    <row r="79" s="1" customFormat="1" ht="18"/>
    <row r="80" s="1" customFormat="1" ht="18"/>
    <row r="81" s="1" customFormat="1" ht="18"/>
    <row r="82" s="1" customFormat="1" ht="18"/>
    <row r="83" s="1" customFormat="1" ht="18"/>
    <row r="84" s="1" customFormat="1" ht="18"/>
    <row r="85" s="1" customFormat="1" ht="18"/>
    <row r="86" s="1" customFormat="1" ht="18"/>
    <row r="87" s="1" customFormat="1" ht="18"/>
    <row r="88" s="1" customFormat="1" ht="18"/>
    <row r="89" s="1" customFormat="1" ht="18"/>
    <row r="90" s="1" customFormat="1" ht="18">
      <c r="F90" s="7"/>
    </row>
    <row r="91" s="1" customFormat="1" ht="18">
      <c r="F91" s="7"/>
    </row>
    <row r="92" s="1" customFormat="1" ht="18">
      <c r="F92" s="7"/>
    </row>
    <row r="93" s="1" customFormat="1" ht="18">
      <c r="F93" s="7"/>
    </row>
    <row r="94" s="1" customFormat="1" ht="18">
      <c r="F94" s="7"/>
    </row>
    <row r="95" s="1" customFormat="1" ht="18">
      <c r="F95" s="7"/>
    </row>
    <row r="96" s="1" customFormat="1" ht="18">
      <c r="F96" s="7"/>
    </row>
    <row r="97" s="1" customFormat="1" ht="18">
      <c r="F97" s="7"/>
    </row>
    <row r="98" s="1" customFormat="1" ht="18">
      <c r="F98" s="7"/>
    </row>
    <row r="99" s="1" customFormat="1" ht="18">
      <c r="F99" s="7"/>
    </row>
    <row r="100" s="1" customFormat="1" ht="18">
      <c r="F100" s="7"/>
    </row>
    <row r="101" s="1" customFormat="1" ht="18">
      <c r="F101" s="7"/>
    </row>
    <row r="102" s="1" customFormat="1" ht="18"/>
    <row r="103" s="1" customFormat="1" ht="18"/>
    <row r="104" s="1" customFormat="1" ht="18"/>
    <row r="105" s="1" customFormat="1" ht="18"/>
    <row r="106" s="1" customFormat="1" ht="18"/>
    <row r="107" s="1" customFormat="1" ht="18"/>
    <row r="108" s="1" customFormat="1" ht="18"/>
    <row r="109" s="1" customFormat="1" ht="18"/>
    <row r="110" s="1" customFormat="1" ht="18"/>
    <row r="111" s="1" customFormat="1" ht="18"/>
    <row r="112" s="1" customFormat="1" ht="18"/>
    <row r="113" s="1" customFormat="1" ht="18"/>
    <row r="114" s="1" customFormat="1" ht="18"/>
    <row r="115" s="1" customFormat="1" ht="18"/>
    <row r="116" s="1" customFormat="1" ht="18"/>
    <row r="117" s="1" customFormat="1" ht="18"/>
    <row r="118" s="1" customFormat="1" ht="18"/>
    <row r="119" s="1" customFormat="1" ht="18"/>
    <row r="120" s="1" customFormat="1" ht="18"/>
    <row r="121" s="1" customFormat="1" ht="18"/>
    <row r="122" s="1" customFormat="1" ht="18"/>
    <row r="123" s="1" customFormat="1" ht="18"/>
    <row r="124" s="1" customFormat="1" ht="18"/>
    <row r="125" s="1" customFormat="1" ht="18"/>
    <row r="126" s="1" customFormat="1" ht="18"/>
    <row r="127" s="1" customFormat="1" ht="18"/>
    <row r="128" s="1" customFormat="1" ht="18"/>
    <row r="129" s="1" customFormat="1" ht="18"/>
    <row r="130" s="1" customFormat="1" ht="18"/>
    <row r="131" s="1" customFormat="1" ht="18"/>
    <row r="132" s="1" customFormat="1" ht="18"/>
    <row r="133" s="1" customFormat="1" ht="18"/>
    <row r="134" s="1" customFormat="1" ht="18"/>
    <row r="135" s="1" customFormat="1" ht="18"/>
    <row r="136" s="1" customFormat="1" ht="18"/>
    <row r="137" s="1" customFormat="1" ht="18"/>
    <row r="138" s="1" customFormat="1" ht="18"/>
    <row r="139" s="1" customFormat="1" ht="18"/>
    <row r="140" s="1" customFormat="1" ht="18"/>
    <row r="141" s="1" customFormat="1" ht="18"/>
    <row r="142" s="1" customFormat="1" ht="18"/>
    <row r="143" s="1" customFormat="1" ht="18"/>
    <row r="144" s="1" customFormat="1" ht="18"/>
    <row r="145" s="1" customFormat="1" ht="18"/>
    <row r="146" s="1" customFormat="1" ht="18"/>
    <row r="147" s="1" customFormat="1" ht="18"/>
    <row r="148" s="1" customFormat="1" ht="18"/>
    <row r="149" s="1" customFormat="1" ht="18"/>
    <row r="150" s="1" customFormat="1" ht="18"/>
    <row r="151" s="1" customFormat="1" ht="18"/>
    <row r="152" s="1" customFormat="1" ht="18"/>
    <row r="153" s="1" customFormat="1" ht="18"/>
    <row r="154" s="1" customFormat="1" ht="18"/>
    <row r="155" s="1" customFormat="1" ht="18"/>
    <row r="156" s="1" customFormat="1" ht="18"/>
    <row r="157" s="1" customFormat="1" ht="18"/>
    <row r="158" s="1" customFormat="1" ht="18"/>
    <row r="159" s="1" customFormat="1" ht="18"/>
    <row r="160" s="1" customFormat="1" ht="18"/>
    <row r="161" s="1" customFormat="1" ht="18"/>
    <row r="162" s="1" customFormat="1" ht="18"/>
    <row r="163" s="1" customFormat="1" ht="18"/>
    <row r="164" s="1" customFormat="1" ht="18"/>
    <row r="165" s="1" customFormat="1" ht="18"/>
    <row r="166" s="1" customFormat="1" ht="18"/>
    <row r="167" s="1" customFormat="1" ht="18"/>
    <row r="168" s="1" customFormat="1" ht="18"/>
    <row r="169" s="1" customFormat="1" ht="18"/>
    <row r="170" s="1" customFormat="1" ht="18"/>
    <row r="171" s="1" customFormat="1" ht="18"/>
    <row r="172" s="1" customFormat="1" ht="18"/>
    <row r="173" s="1" customFormat="1" ht="18"/>
    <row r="174" s="1" customFormat="1" ht="18"/>
    <row r="175" s="1" customFormat="1" ht="18"/>
    <row r="176" s="1" customFormat="1" ht="18"/>
    <row r="177" s="1" customFormat="1" ht="18"/>
    <row r="178" s="1" customFormat="1" ht="18"/>
    <row r="179" s="1" customFormat="1" ht="18"/>
    <row r="180" s="1" customFormat="1" ht="18"/>
    <row r="181" s="1" customFormat="1" ht="18"/>
    <row r="182" s="1" customFormat="1" ht="18"/>
    <row r="183" s="1" customFormat="1" ht="18"/>
    <row r="184" s="1" customFormat="1" ht="18"/>
    <row r="185" s="1" customFormat="1" ht="18"/>
    <row r="186" s="1" customFormat="1" ht="18"/>
    <row r="187" s="1" customFormat="1" ht="18"/>
    <row r="188" s="1" customFormat="1" ht="18"/>
    <row r="189" s="1" customFormat="1" ht="18"/>
    <row r="190" s="1" customFormat="1" ht="18"/>
    <row r="191" s="1" customFormat="1" ht="18"/>
    <row r="192" s="1" customFormat="1" ht="18"/>
    <row r="193" s="1" customFormat="1" ht="18"/>
    <row r="194" s="1" customFormat="1" ht="18"/>
    <row r="195" s="1" customFormat="1" ht="18"/>
    <row r="196" s="1" customFormat="1" ht="18"/>
    <row r="197" s="1" customFormat="1" ht="18"/>
    <row r="198" s="1" customFormat="1" ht="18"/>
    <row r="199" s="1" customFormat="1" ht="18"/>
    <row r="200" s="1" customFormat="1" ht="18"/>
    <row r="201" s="1" customFormat="1" ht="18"/>
    <row r="202" s="1" customFormat="1" ht="18"/>
    <row r="203" s="1" customFormat="1" ht="18"/>
    <row r="204" s="1" customFormat="1" ht="18"/>
    <row r="205" s="1" customFormat="1" ht="18"/>
    <row r="206" s="1" customFormat="1" ht="18"/>
    <row r="207" s="1" customFormat="1" ht="18"/>
    <row r="208" s="1" customFormat="1" ht="18"/>
    <row r="209" s="1" customFormat="1" ht="18"/>
    <row r="210" s="1" customFormat="1" ht="18"/>
    <row r="211" s="1" customFormat="1" ht="18"/>
    <row r="212" s="1" customFormat="1" ht="18"/>
    <row r="213" s="1" customFormat="1" ht="18"/>
    <row r="214" s="1" customFormat="1" ht="18"/>
    <row r="215" s="1" customFormat="1" ht="18"/>
    <row r="216" s="1" customFormat="1" ht="18"/>
    <row r="217" s="1" customFormat="1" ht="18"/>
    <row r="218" s="1" customFormat="1" ht="18"/>
    <row r="219" s="1" customFormat="1" ht="18"/>
  </sheetData>
  <printOptions/>
  <pageMargins left="0.75" right="0.75" top="1" bottom="1" header="0.5" footer="0.5"/>
  <pageSetup fitToHeight="1" fitToWidth="1" horizontalDpi="300" verticalDpi="300" orientation="portrait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1" customWidth="1"/>
  </cols>
  <sheetData>
    <row r="2" ht="30">
      <c r="B2" s="122" t="s">
        <v>148</v>
      </c>
    </row>
    <row r="4" s="123" customFormat="1" ht="23.25">
      <c r="B4" s="123" t="s">
        <v>149</v>
      </c>
    </row>
    <row r="5" spans="2:14" s="123" customFormat="1" ht="23.2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2:14" s="123" customFormat="1" ht="23.25">
      <c r="B6" s="124" t="s">
        <v>150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s="123" customFormat="1" ht="23.25">
      <c r="A7" s="232">
        <v>3</v>
      </c>
      <c r="B7" s="125" t="s">
        <v>152</v>
      </c>
      <c r="C7" s="124" t="s">
        <v>151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s="123" customFormat="1" ht="23.25">
      <c r="A8" s="232"/>
      <c r="B8" s="125">
        <f>B7+1</f>
        <v>2</v>
      </c>
      <c r="C8" s="124" t="s">
        <v>145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s="123" customFormat="1" ht="23.25">
      <c r="A9" s="232">
        <v>1</v>
      </c>
      <c r="B9" s="125">
        <f aca="true" t="shared" si="0" ref="B9:B18">B8+1</f>
        <v>3</v>
      </c>
      <c r="C9" s="124" t="s">
        <v>220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s="123" customFormat="1" ht="23.25">
      <c r="A10" s="232">
        <v>1</v>
      </c>
      <c r="B10" s="125">
        <f t="shared" si="0"/>
        <v>4</v>
      </c>
      <c r="C10" s="124" t="s">
        <v>153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s="123" customFormat="1" ht="23.25">
      <c r="A11" s="232">
        <v>0.5</v>
      </c>
      <c r="B11" s="125">
        <f t="shared" si="0"/>
        <v>5</v>
      </c>
      <c r="C11" s="124" t="s">
        <v>142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s="123" customFormat="1" ht="23.25">
      <c r="A12" s="232">
        <v>0.5</v>
      </c>
      <c r="B12" s="125">
        <f t="shared" si="0"/>
        <v>6</v>
      </c>
      <c r="C12" s="124" t="s">
        <v>155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s="123" customFormat="1" ht="23.25">
      <c r="A13" s="232">
        <v>1</v>
      </c>
      <c r="B13" s="125">
        <f t="shared" si="0"/>
        <v>7</v>
      </c>
      <c r="C13" s="124" t="s">
        <v>154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s="123" customFormat="1" ht="23.25">
      <c r="A14" s="232">
        <v>1</v>
      </c>
      <c r="B14" s="125">
        <f t="shared" si="0"/>
        <v>8</v>
      </c>
      <c r="C14" s="124" t="s">
        <v>143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s="123" customFormat="1" ht="23.25">
      <c r="A15" s="232">
        <v>1</v>
      </c>
      <c r="B15" s="125">
        <f t="shared" si="0"/>
        <v>9</v>
      </c>
      <c r="C15" s="124" t="s">
        <v>144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s="123" customFormat="1" ht="23.25">
      <c r="A16" s="232">
        <v>1</v>
      </c>
      <c r="B16" s="125">
        <f t="shared" si="0"/>
        <v>10</v>
      </c>
      <c r="C16" s="124" t="s">
        <v>219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s="123" customFormat="1" ht="23.25">
      <c r="A17" s="232"/>
      <c r="B17" s="125">
        <f t="shared" si="0"/>
        <v>11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2" s="123" customFormat="1" ht="23.25">
      <c r="A18" s="232"/>
      <c r="B18" s="125">
        <f t="shared" si="0"/>
        <v>12</v>
      </c>
    </row>
    <row r="19" s="123" customFormat="1" ht="23.25">
      <c r="A19" s="123">
        <f>SUM(A7:A18)</f>
        <v>10</v>
      </c>
    </row>
    <row r="20" s="123" customFormat="1" ht="23.25"/>
    <row r="21" s="123" customFormat="1" ht="23.25"/>
    <row r="22" s="123" customFormat="1" ht="23.25">
      <c r="B22" s="123" t="s">
        <v>146</v>
      </c>
    </row>
    <row r="23" s="123" customFormat="1" ht="23.25">
      <c r="B23" s="123" t="s">
        <v>147</v>
      </c>
    </row>
  </sheetData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N31:N33"/>
  <sheetViews>
    <sheetView workbookViewId="0" topLeftCell="A1">
      <selection activeCell="B3" sqref="B3:G12"/>
    </sheetView>
  </sheetViews>
  <sheetFormatPr defaultColWidth="9.140625" defaultRowHeight="12.75"/>
  <sheetData>
    <row r="30" s="73" customFormat="1" ht="12.75"/>
    <row r="31" ht="12.75">
      <c r="N31" s="73"/>
    </row>
    <row r="32" s="73" customFormat="1" ht="12.75"/>
    <row r="33" ht="12.75">
      <c r="N33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workbookViewId="0" topLeftCell="A1">
      <selection activeCell="A1" sqref="A1"/>
    </sheetView>
  </sheetViews>
  <sheetFormatPr defaultColWidth="9.140625" defaultRowHeight="12.75"/>
  <cols>
    <col min="1" max="2" width="3.140625" style="120" customWidth="1"/>
    <col min="3" max="16384" width="9.140625" style="120" customWidth="1"/>
  </cols>
  <sheetData>
    <row r="1" s="123" customFormat="1" ht="23.25"/>
    <row r="2" s="123" customFormat="1" ht="23.25">
      <c r="A2" s="249" t="s">
        <v>139</v>
      </c>
    </row>
    <row r="3" s="123" customFormat="1" ht="23.25"/>
    <row r="4" spans="2:3" s="123" customFormat="1" ht="23.25">
      <c r="B4" s="123">
        <v>1</v>
      </c>
      <c r="C4" s="123" t="s">
        <v>250</v>
      </c>
    </row>
    <row r="5" spans="2:3" s="123" customFormat="1" ht="23.25">
      <c r="B5" s="123">
        <f>B4+1</f>
        <v>2</v>
      </c>
      <c r="C5" s="123" t="s">
        <v>251</v>
      </c>
    </row>
    <row r="6" spans="2:3" s="123" customFormat="1" ht="23.25">
      <c r="B6" s="123">
        <f aca="true" t="shared" si="0" ref="B6:B11">B5+1</f>
        <v>3</v>
      </c>
      <c r="C6" s="123" t="s">
        <v>140</v>
      </c>
    </row>
    <row r="7" spans="2:3" s="123" customFormat="1" ht="23.25">
      <c r="B7" s="123">
        <f t="shared" si="0"/>
        <v>4</v>
      </c>
      <c r="C7" s="123" t="s">
        <v>141</v>
      </c>
    </row>
    <row r="8" spans="2:3" s="123" customFormat="1" ht="23.25">
      <c r="B8" s="123">
        <f t="shared" si="0"/>
        <v>5</v>
      </c>
      <c r="C8" s="123" t="s">
        <v>138</v>
      </c>
    </row>
    <row r="9" spans="2:3" s="123" customFormat="1" ht="23.25">
      <c r="B9" s="123">
        <f t="shared" si="0"/>
        <v>6</v>
      </c>
      <c r="C9" s="123" t="s">
        <v>137</v>
      </c>
    </row>
    <row r="10" spans="2:3" s="123" customFormat="1" ht="23.25">
      <c r="B10" s="123">
        <f t="shared" si="0"/>
        <v>7</v>
      </c>
      <c r="C10" s="123" t="s">
        <v>124</v>
      </c>
    </row>
    <row r="11" spans="2:3" s="123" customFormat="1" ht="23.25">
      <c r="B11" s="123">
        <f t="shared" si="0"/>
        <v>8</v>
      </c>
      <c r="C11" s="123" t="s">
        <v>125</v>
      </c>
    </row>
    <row r="12" s="123" customFormat="1" ht="23.25"/>
    <row r="13" s="123" customFormat="1" ht="23.25"/>
    <row r="14" s="123" customFormat="1" ht="23.25"/>
    <row r="15" s="123" customFormat="1" ht="23.25"/>
    <row r="16" s="123" customFormat="1" ht="23.25"/>
    <row r="17" s="123" customFormat="1" ht="23.25"/>
    <row r="18" s="123" customFormat="1" ht="23.25"/>
    <row r="19" s="123" customFormat="1" ht="23.25"/>
    <row r="20" s="123" customFormat="1" ht="23.25"/>
    <row r="21" s="123" customFormat="1" ht="23.25"/>
    <row r="22" s="123" customFormat="1" ht="23.25"/>
    <row r="23" s="123" customFormat="1" ht="23.25"/>
    <row r="24" s="123" customFormat="1" ht="23.25"/>
    <row r="25" s="123" customFormat="1" ht="23.25"/>
    <row r="26" s="123" customFormat="1" ht="23.25"/>
    <row r="27" s="123" customFormat="1" ht="23.25"/>
    <row r="28" s="123" customFormat="1" ht="23.25"/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"/>
  <sheetViews>
    <sheetView workbookViewId="0" topLeftCell="A2">
      <selection activeCell="L10" sqref="L10"/>
    </sheetView>
  </sheetViews>
  <sheetFormatPr defaultColWidth="9.140625" defaultRowHeight="12.75"/>
  <cols>
    <col min="1" max="16384" width="9.140625" style="221" customWidth="1"/>
  </cols>
  <sheetData>
    <row r="1" ht="45" thickBot="1"/>
    <row r="2" spans="2:14" ht="45">
      <c r="B2" s="251"/>
      <c r="C2" s="252"/>
      <c r="D2" s="252"/>
      <c r="E2" s="252"/>
      <c r="F2" s="252"/>
      <c r="G2" s="252"/>
      <c r="H2" s="260" t="s">
        <v>238</v>
      </c>
      <c r="I2" s="252"/>
      <c r="J2" s="252"/>
      <c r="K2" s="252"/>
      <c r="L2" s="252"/>
      <c r="M2" s="252"/>
      <c r="N2" s="253"/>
    </row>
    <row r="3" spans="2:14" ht="45.75" thickBot="1">
      <c r="B3" s="254"/>
      <c r="C3" s="255"/>
      <c r="D3" s="255"/>
      <c r="E3" s="255"/>
      <c r="F3" s="255"/>
      <c r="G3" s="255"/>
      <c r="H3" s="261" t="s">
        <v>237</v>
      </c>
      <c r="I3" s="255"/>
      <c r="J3" s="255"/>
      <c r="K3" s="255"/>
      <c r="L3" s="255"/>
      <c r="M3" s="255"/>
      <c r="N3" s="256"/>
    </row>
    <row r="4" spans="3:8" s="257" customFormat="1" ht="45">
      <c r="C4" s="216"/>
      <c r="D4" s="216"/>
      <c r="E4" s="216"/>
      <c r="F4" s="258"/>
      <c r="G4" s="250"/>
      <c r="H4" s="259"/>
    </row>
    <row r="5" spans="2:9" ht="45">
      <c r="B5" s="215"/>
      <c r="C5" s="216"/>
      <c r="D5" s="217"/>
      <c r="E5" s="217"/>
      <c r="F5" s="217"/>
      <c r="G5" s="218"/>
      <c r="H5" s="219"/>
      <c r="I5" s="220"/>
    </row>
    <row r="6" spans="2:13" ht="45">
      <c r="B6" s="222"/>
      <c r="C6" s="223" t="s">
        <v>179</v>
      </c>
      <c r="D6" s="224"/>
      <c r="E6" s="224"/>
      <c r="F6" s="224"/>
      <c r="G6" s="224"/>
      <c r="H6" s="224"/>
      <c r="I6" s="224"/>
      <c r="J6" s="225"/>
      <c r="K6" s="225"/>
      <c r="L6" s="225"/>
      <c r="M6" s="225"/>
    </row>
    <row r="7" spans="2:13" ht="45">
      <c r="B7" s="222"/>
      <c r="C7" s="223" t="s">
        <v>180</v>
      </c>
      <c r="D7" s="224"/>
      <c r="E7" s="224"/>
      <c r="F7" s="224"/>
      <c r="G7" s="224"/>
      <c r="H7" s="224"/>
      <c r="I7" s="226"/>
      <c r="J7" s="225"/>
      <c r="K7" s="225"/>
      <c r="L7" s="225"/>
      <c r="M7" s="225"/>
    </row>
    <row r="8" spans="2:13" ht="45">
      <c r="B8" s="222"/>
      <c r="C8" s="223" t="s">
        <v>181</v>
      </c>
      <c r="D8" s="224"/>
      <c r="E8" s="224"/>
      <c r="F8" s="224"/>
      <c r="G8" s="224"/>
      <c r="H8" s="224"/>
      <c r="I8" s="224"/>
      <c r="J8" s="225"/>
      <c r="K8" s="225"/>
      <c r="L8" s="225"/>
      <c r="M8" s="225"/>
    </row>
    <row r="9" spans="2:9" ht="45">
      <c r="B9" s="217"/>
      <c r="C9" s="217"/>
      <c r="D9" s="217"/>
      <c r="E9" s="217"/>
      <c r="F9" s="217"/>
      <c r="G9" s="217"/>
      <c r="H9" s="217"/>
      <c r="I9" s="217"/>
    </row>
  </sheetData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142" customWidth="1"/>
    <col min="2" max="8" width="12.7109375" style="142" customWidth="1"/>
    <col min="9" max="9" width="3.7109375" style="142" customWidth="1"/>
    <col min="10" max="10" width="13.8515625" style="142" customWidth="1"/>
    <col min="11" max="13" width="12.7109375" style="142" customWidth="1"/>
    <col min="14" max="16384" width="9.140625" style="142" customWidth="1"/>
  </cols>
  <sheetData>
    <row r="1" ht="26.25">
      <c r="E1" s="227" t="s">
        <v>221</v>
      </c>
    </row>
    <row r="2" ht="25.5">
      <c r="B2" s="228" t="s">
        <v>167</v>
      </c>
    </row>
    <row r="4" spans="2:7" ht="25.5">
      <c r="B4" s="142" t="s">
        <v>177</v>
      </c>
      <c r="E4" s="142" t="s">
        <v>168</v>
      </c>
      <c r="G4" s="142" t="s">
        <v>168</v>
      </c>
    </row>
    <row r="5" spans="2:7" ht="25.5">
      <c r="B5" s="142" t="s">
        <v>178</v>
      </c>
      <c r="E5" s="142" t="s">
        <v>156</v>
      </c>
      <c r="G5" s="142" t="s">
        <v>156</v>
      </c>
    </row>
    <row r="6" spans="2:11" ht="26.25">
      <c r="B6" s="148">
        <v>45</v>
      </c>
      <c r="E6" s="142" t="s">
        <v>169</v>
      </c>
      <c r="G6" s="142" t="s">
        <v>171</v>
      </c>
      <c r="J6" s="145" t="s">
        <v>172</v>
      </c>
      <c r="K6" s="145" t="s">
        <v>173</v>
      </c>
    </row>
    <row r="7" spans="5:11" ht="25.5">
      <c r="E7" s="142" t="s">
        <v>170</v>
      </c>
      <c r="G7" s="142" t="s">
        <v>170</v>
      </c>
      <c r="J7" s="145" t="s">
        <v>170</v>
      </c>
      <c r="K7" s="145" t="s">
        <v>222</v>
      </c>
    </row>
    <row r="9" spans="5:12" ht="26.25">
      <c r="E9" s="144">
        <v>650</v>
      </c>
      <c r="F9" s="142" t="s">
        <v>173</v>
      </c>
      <c r="G9" s="143">
        <f>E9*(1-J9)</f>
        <v>617.5</v>
      </c>
      <c r="H9" s="142" t="s">
        <v>173</v>
      </c>
      <c r="J9" s="156">
        <v>0.05</v>
      </c>
      <c r="K9" s="229">
        <f>G9-E9</f>
        <v>-32.5</v>
      </c>
      <c r="L9" s="142" t="s">
        <v>173</v>
      </c>
    </row>
    <row r="10" ht="26.25" thickBot="1">
      <c r="A10" s="147" t="s">
        <v>176</v>
      </c>
    </row>
    <row r="11" spans="1:8" ht="26.25">
      <c r="A11" s="142" t="s">
        <v>174</v>
      </c>
      <c r="C11" s="144">
        <v>550</v>
      </c>
      <c r="D11" s="142" t="s">
        <v>173</v>
      </c>
      <c r="E11" s="149">
        <f>(E9-C11)/$B$6</f>
        <v>2.2222222222222223</v>
      </c>
      <c r="F11" s="157" t="s">
        <v>99</v>
      </c>
      <c r="G11" s="150">
        <f>(G9-C11)/$B$6</f>
        <v>1.5</v>
      </c>
      <c r="H11" s="160" t="s">
        <v>99</v>
      </c>
    </row>
    <row r="12" spans="5:8" ht="26.25">
      <c r="E12" s="151"/>
      <c r="F12" s="158"/>
      <c r="G12" s="152"/>
      <c r="H12" s="161"/>
    </row>
    <row r="13" spans="1:8" ht="27" thickBot="1">
      <c r="A13" s="142" t="s">
        <v>175</v>
      </c>
      <c r="C13" s="142">
        <f>C11*(1-A15)</f>
        <v>495</v>
      </c>
      <c r="D13" s="142" t="s">
        <v>173</v>
      </c>
      <c r="E13" s="153">
        <f>(E9-C13)/$B$6</f>
        <v>3.4444444444444446</v>
      </c>
      <c r="F13" s="159" t="s">
        <v>99</v>
      </c>
      <c r="G13" s="154">
        <f>(G9-C13)/$B$6</f>
        <v>2.7222222222222223</v>
      </c>
      <c r="H13" s="162" t="s">
        <v>99</v>
      </c>
    </row>
    <row r="15" spans="1:13" ht="26.25">
      <c r="A15" s="146">
        <v>0.1</v>
      </c>
      <c r="C15" s="233">
        <f>C13-C11</f>
        <v>-55</v>
      </c>
      <c r="D15" s="142" t="s">
        <v>223</v>
      </c>
      <c r="J15" s="231" t="s">
        <v>224</v>
      </c>
      <c r="K15" s="230">
        <f>K9-C15</f>
        <v>22.5</v>
      </c>
      <c r="L15" s="142" t="s">
        <v>173</v>
      </c>
      <c r="M15" s="142" t="s">
        <v>283</v>
      </c>
    </row>
    <row r="16" ht="25.5">
      <c r="A16" s="145" t="s">
        <v>172</v>
      </c>
    </row>
    <row r="17" ht="25.5">
      <c r="A17" s="145" t="s">
        <v>170</v>
      </c>
    </row>
  </sheetData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L9" sqref="L9"/>
    </sheetView>
  </sheetViews>
  <sheetFormatPr defaultColWidth="9.140625" defaultRowHeight="12.75"/>
  <cols>
    <col min="1" max="1" width="9.140625" style="126" customWidth="1"/>
    <col min="2" max="2" width="12.00390625" style="126" customWidth="1"/>
    <col min="3" max="6" width="9.140625" style="126" customWidth="1"/>
    <col min="7" max="7" width="8.421875" style="126" customWidth="1"/>
    <col min="8" max="8" width="13.421875" style="126" bestFit="1" customWidth="1"/>
    <col min="9" max="9" width="9.57421875" style="126" bestFit="1" customWidth="1"/>
    <col min="10" max="10" width="15.140625" style="126" bestFit="1" customWidth="1"/>
    <col min="11" max="11" width="9.140625" style="126" customWidth="1"/>
    <col min="12" max="12" width="13.421875" style="126" bestFit="1" customWidth="1"/>
    <col min="13" max="16384" width="9.140625" style="126" customWidth="1"/>
  </cols>
  <sheetData>
    <row r="1" ht="30">
      <c r="B1" s="138" t="s">
        <v>166</v>
      </c>
    </row>
    <row r="3" spans="8:12" ht="30">
      <c r="H3" s="95" t="s">
        <v>156</v>
      </c>
      <c r="I3" s="95"/>
      <c r="J3" s="95" t="s">
        <v>77</v>
      </c>
      <c r="K3" s="95"/>
      <c r="L3" s="95" t="s">
        <v>157</v>
      </c>
    </row>
    <row r="4" spans="8:12" ht="30">
      <c r="H4" s="129" t="s">
        <v>160</v>
      </c>
      <c r="I4" s="129"/>
      <c r="J4" s="130" t="s">
        <v>53</v>
      </c>
      <c r="K4" s="129"/>
      <c r="L4" s="129" t="s">
        <v>54</v>
      </c>
    </row>
    <row r="5" spans="2:12" ht="30">
      <c r="B5" s="126" t="s">
        <v>158</v>
      </c>
      <c r="H5" s="139">
        <v>495</v>
      </c>
      <c r="I5" s="139"/>
      <c r="J5" s="140">
        <v>1.14</v>
      </c>
      <c r="L5" s="132">
        <f>H5*J5</f>
        <v>564.3</v>
      </c>
    </row>
    <row r="6" spans="8:12" s="43" customFormat="1" ht="15.75">
      <c r="H6" s="87"/>
      <c r="I6" s="87"/>
      <c r="J6" s="58"/>
      <c r="L6" s="99"/>
    </row>
    <row r="7" spans="2:12" ht="30">
      <c r="B7" s="126" t="s">
        <v>159</v>
      </c>
      <c r="H7" s="139">
        <v>618</v>
      </c>
      <c r="I7" s="139"/>
      <c r="J7" s="140">
        <v>1.04</v>
      </c>
      <c r="L7" s="132">
        <f>H7*J7</f>
        <v>642.72</v>
      </c>
    </row>
    <row r="8" spans="10:12" s="43" customFormat="1" ht="15.75">
      <c r="J8" s="44"/>
      <c r="L8" s="99"/>
    </row>
    <row r="9" spans="2:12" ht="30">
      <c r="B9" s="126" t="s">
        <v>78</v>
      </c>
      <c r="H9" s="126">
        <f>H7-H5</f>
        <v>123</v>
      </c>
      <c r="J9" s="131">
        <f>J7-J5</f>
        <v>-0.09999999999999987</v>
      </c>
      <c r="L9" s="132">
        <f>L7-L5</f>
        <v>78.42000000000007</v>
      </c>
    </row>
    <row r="10" spans="2:13" s="43" customFormat="1" ht="15.75"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</row>
    <row r="11" spans="1:13" s="181" customFormat="1" ht="30">
      <c r="A11" s="178"/>
      <c r="B11" s="165"/>
      <c r="C11" s="179"/>
      <c r="D11" s="179"/>
      <c r="E11" s="179"/>
      <c r="F11" s="166"/>
      <c r="G11" s="167"/>
      <c r="H11" s="214"/>
      <c r="I11" s="167"/>
      <c r="J11" s="180"/>
      <c r="K11" s="167"/>
      <c r="L11" s="180"/>
      <c r="M11" s="168"/>
    </row>
    <row r="12" spans="1:11" s="183" customFormat="1" ht="20.25">
      <c r="A12" s="169"/>
      <c r="B12" s="182"/>
      <c r="I12" s="184"/>
      <c r="K12" s="184"/>
    </row>
    <row r="13" spans="1:13" s="183" customFormat="1" ht="20.25">
      <c r="A13" s="169"/>
      <c r="B13" s="182"/>
      <c r="H13" s="172"/>
      <c r="I13" s="173"/>
      <c r="J13" s="174"/>
      <c r="K13" s="175"/>
      <c r="L13" s="176"/>
      <c r="M13" s="177"/>
    </row>
    <row r="14" spans="1:2" s="183" customFormat="1" ht="20.25">
      <c r="A14" s="169"/>
      <c r="B14" s="182"/>
    </row>
    <row r="15" s="181" customFormat="1" ht="30"/>
    <row r="17" spans="1:2" ht="30">
      <c r="A17" s="164"/>
      <c r="B17" s="165"/>
    </row>
    <row r="18" spans="1:2" ht="30">
      <c r="A18" s="163"/>
      <c r="B18" s="163"/>
    </row>
    <row r="19" spans="1:2" ht="30">
      <c r="A19" s="163"/>
      <c r="B19" s="163"/>
    </row>
    <row r="20" spans="1:2" ht="30">
      <c r="A20" s="163"/>
      <c r="B20" s="163"/>
    </row>
    <row r="21" spans="1:2" ht="30">
      <c r="A21" s="163"/>
      <c r="B21" s="163"/>
    </row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workbookViewId="0" topLeftCell="A1">
      <selection activeCell="J7" sqref="J7"/>
    </sheetView>
  </sheetViews>
  <sheetFormatPr defaultColWidth="9.140625" defaultRowHeight="12.75"/>
  <cols>
    <col min="1" max="6" width="9.140625" style="126" customWidth="1"/>
    <col min="7" max="8" width="12.140625" style="126" bestFit="1" customWidth="1"/>
    <col min="9" max="9" width="9.57421875" style="126" bestFit="1" customWidth="1"/>
    <col min="10" max="10" width="15.140625" style="126" bestFit="1" customWidth="1"/>
    <col min="11" max="11" width="9.140625" style="126" customWidth="1"/>
    <col min="12" max="12" width="13.421875" style="126" bestFit="1" customWidth="1"/>
    <col min="13" max="16384" width="9.140625" style="126" customWidth="1"/>
  </cols>
  <sheetData>
    <row r="1" ht="30">
      <c r="B1" s="138" t="s">
        <v>166</v>
      </c>
    </row>
    <row r="3" spans="8:12" ht="30">
      <c r="H3" s="95" t="s">
        <v>156</v>
      </c>
      <c r="I3" s="95"/>
      <c r="J3" s="95" t="s">
        <v>77</v>
      </c>
      <c r="K3" s="95"/>
      <c r="L3" s="95" t="s">
        <v>157</v>
      </c>
    </row>
    <row r="4" spans="8:12" ht="30">
      <c r="H4" s="129" t="s">
        <v>160</v>
      </c>
      <c r="I4" s="129"/>
      <c r="J4" s="130" t="s">
        <v>53</v>
      </c>
      <c r="K4" s="129"/>
      <c r="L4" s="129" t="s">
        <v>54</v>
      </c>
    </row>
    <row r="5" spans="2:12" ht="30">
      <c r="B5" s="126" t="s">
        <v>158</v>
      </c>
      <c r="H5" s="139">
        <v>495</v>
      </c>
      <c r="I5" s="139"/>
      <c r="J5" s="140">
        <v>1.14</v>
      </c>
      <c r="L5" s="132">
        <f>H5*J5</f>
        <v>564.3</v>
      </c>
    </row>
    <row r="6" spans="8:12" s="43" customFormat="1" ht="15.75">
      <c r="H6" s="87"/>
      <c r="I6" s="87"/>
      <c r="J6" s="58"/>
      <c r="L6" s="99"/>
    </row>
    <row r="7" spans="2:12" ht="30">
      <c r="B7" s="126" t="s">
        <v>159</v>
      </c>
      <c r="H7" s="139">
        <v>618</v>
      </c>
      <c r="I7" s="139"/>
      <c r="J7" s="140">
        <v>1.04</v>
      </c>
      <c r="L7" s="132">
        <f>H7*J7</f>
        <v>642.72</v>
      </c>
    </row>
    <row r="8" spans="10:12" s="43" customFormat="1" ht="15.75">
      <c r="J8" s="44"/>
      <c r="L8" s="99"/>
    </row>
    <row r="9" spans="2:12" ht="30">
      <c r="B9" s="126" t="s">
        <v>78</v>
      </c>
      <c r="H9" s="126">
        <f>H7-H5</f>
        <v>123</v>
      </c>
      <c r="J9" s="131">
        <f>J7-J5</f>
        <v>-0.09999999999999987</v>
      </c>
      <c r="L9" s="132">
        <f>L7-L5</f>
        <v>78.42000000000007</v>
      </c>
    </row>
    <row r="10" spans="2:13" s="43" customFormat="1" ht="15.75"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3:13" ht="30">
      <c r="C11" s="136" t="s">
        <v>163</v>
      </c>
      <c r="D11" s="136"/>
      <c r="E11" s="136"/>
      <c r="F11" s="136"/>
      <c r="G11" s="128" t="s">
        <v>161</v>
      </c>
      <c r="H11" s="132">
        <f>L7</f>
        <v>642.72</v>
      </c>
      <c r="I11" s="128" t="s">
        <v>17</v>
      </c>
      <c r="J11" s="132">
        <f>L5</f>
        <v>564.3</v>
      </c>
      <c r="K11" s="128" t="s">
        <v>161</v>
      </c>
      <c r="L11" s="132">
        <f>H11-J11</f>
        <v>78.42000000000007</v>
      </c>
      <c r="M11" s="127" t="s">
        <v>164</v>
      </c>
    </row>
    <row r="12" spans="3:11" ht="30">
      <c r="C12" s="136"/>
      <c r="D12" s="136"/>
      <c r="E12" s="136"/>
      <c r="F12" s="136"/>
      <c r="G12" s="95"/>
      <c r="I12" s="95"/>
      <c r="K12" s="95"/>
    </row>
    <row r="13" spans="3:13" ht="30.75" thickBot="1">
      <c r="C13" s="136" t="s">
        <v>165</v>
      </c>
      <c r="D13" s="136"/>
      <c r="E13" s="136"/>
      <c r="F13" s="137"/>
      <c r="G13" s="128" t="s">
        <v>161</v>
      </c>
      <c r="H13" s="133">
        <f>L7</f>
        <v>642.72</v>
      </c>
      <c r="I13" s="135" t="s">
        <v>17</v>
      </c>
      <c r="J13" s="134">
        <f>L5</f>
        <v>564.3</v>
      </c>
      <c r="K13" s="128" t="s">
        <v>161</v>
      </c>
      <c r="L13" s="185">
        <f>(H13-J13)/I14</f>
        <v>0.6375609756097567</v>
      </c>
      <c r="M13" s="246" t="s">
        <v>162</v>
      </c>
    </row>
    <row r="14" ht="30">
      <c r="I14" s="126">
        <f>H9</f>
        <v>123</v>
      </c>
    </row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3">
      <selection activeCell="L13" sqref="L13"/>
    </sheetView>
  </sheetViews>
  <sheetFormatPr defaultColWidth="9.140625" defaultRowHeight="12.75"/>
  <cols>
    <col min="1" max="6" width="9.140625" style="126" customWidth="1"/>
    <col min="7" max="8" width="12.140625" style="126" bestFit="1" customWidth="1"/>
    <col min="9" max="9" width="9.57421875" style="126" bestFit="1" customWidth="1"/>
    <col min="10" max="10" width="15.140625" style="126" bestFit="1" customWidth="1"/>
    <col min="11" max="11" width="9.140625" style="126" customWidth="1"/>
    <col min="12" max="12" width="13.421875" style="126" bestFit="1" customWidth="1"/>
    <col min="13" max="16384" width="9.140625" style="126" customWidth="1"/>
  </cols>
  <sheetData>
    <row r="1" s="98" customFormat="1" ht="20.25">
      <c r="B1" s="234" t="s">
        <v>166</v>
      </c>
    </row>
    <row r="2" s="98" customFormat="1" ht="20.25"/>
    <row r="3" spans="8:12" ht="30">
      <c r="H3" s="95" t="s">
        <v>156</v>
      </c>
      <c r="I3" s="95"/>
      <c r="J3" s="95" t="s">
        <v>77</v>
      </c>
      <c r="K3" s="95"/>
      <c r="L3" s="95" t="s">
        <v>157</v>
      </c>
    </row>
    <row r="4" spans="8:12" ht="30">
      <c r="H4" s="129" t="s">
        <v>160</v>
      </c>
      <c r="I4" s="129"/>
      <c r="J4" s="130" t="s">
        <v>53</v>
      </c>
      <c r="K4" s="129"/>
      <c r="L4" s="129" t="s">
        <v>54</v>
      </c>
    </row>
    <row r="5" spans="2:12" ht="30">
      <c r="B5" s="126" t="s">
        <v>158</v>
      </c>
      <c r="H5" s="139">
        <v>495</v>
      </c>
      <c r="I5" s="139"/>
      <c r="J5" s="140">
        <v>1.14</v>
      </c>
      <c r="L5" s="132">
        <f>H5*J5</f>
        <v>564.3</v>
      </c>
    </row>
    <row r="6" spans="8:12" s="43" customFormat="1" ht="15.75">
      <c r="H6" s="87"/>
      <c r="I6" s="87"/>
      <c r="J6" s="58"/>
      <c r="L6" s="99"/>
    </row>
    <row r="7" spans="2:12" ht="30">
      <c r="B7" s="126" t="s">
        <v>159</v>
      </c>
      <c r="H7" s="139">
        <v>618</v>
      </c>
      <c r="I7" s="139"/>
      <c r="J7" s="140">
        <v>1.09</v>
      </c>
      <c r="L7" s="132">
        <f>H7*J7</f>
        <v>673.62</v>
      </c>
    </row>
    <row r="8" spans="10:12" s="43" customFormat="1" ht="15.75">
      <c r="J8" s="44"/>
      <c r="L8" s="99"/>
    </row>
    <row r="9" spans="2:12" ht="30">
      <c r="B9" s="126" t="s">
        <v>78</v>
      </c>
      <c r="H9" s="126">
        <f>H7-H5</f>
        <v>123</v>
      </c>
      <c r="J9" s="131">
        <f>J7-J5</f>
        <v>-0.04999999999999982</v>
      </c>
      <c r="L9" s="132">
        <f>L7-L5</f>
        <v>109.32000000000005</v>
      </c>
    </row>
    <row r="10" spans="2:13" s="43" customFormat="1" ht="15.75"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3:13" ht="30">
      <c r="C11" s="136" t="s">
        <v>163</v>
      </c>
      <c r="D11" s="136"/>
      <c r="E11" s="136"/>
      <c r="F11" s="136"/>
      <c r="G11" s="128" t="s">
        <v>161</v>
      </c>
      <c r="H11" s="132">
        <f>L7</f>
        <v>673.62</v>
      </c>
      <c r="I11" s="128" t="s">
        <v>17</v>
      </c>
      <c r="J11" s="132">
        <f>L5</f>
        <v>564.3</v>
      </c>
      <c r="K11" s="128" t="s">
        <v>161</v>
      </c>
      <c r="L11" s="132">
        <f>H11-J11</f>
        <v>109.32000000000005</v>
      </c>
      <c r="M11" s="127" t="s">
        <v>164</v>
      </c>
    </row>
    <row r="12" spans="3:11" ht="30">
      <c r="C12" s="136"/>
      <c r="D12" s="136"/>
      <c r="E12" s="136"/>
      <c r="F12" s="136"/>
      <c r="G12" s="95"/>
      <c r="I12" s="95"/>
      <c r="K12" s="95"/>
    </row>
    <row r="13" spans="3:13" ht="30.75" thickBot="1">
      <c r="C13" s="136" t="s">
        <v>165</v>
      </c>
      <c r="D13" s="136"/>
      <c r="E13" s="136"/>
      <c r="F13" s="137"/>
      <c r="G13" s="128" t="s">
        <v>161</v>
      </c>
      <c r="H13" s="133">
        <f>L7</f>
        <v>673.62</v>
      </c>
      <c r="I13" s="135" t="s">
        <v>17</v>
      </c>
      <c r="J13" s="134">
        <f>L5</f>
        <v>564.3</v>
      </c>
      <c r="K13" s="128" t="s">
        <v>161</v>
      </c>
      <c r="L13" s="185">
        <f>(H13-J13)/I14</f>
        <v>0.8887804878048785</v>
      </c>
      <c r="M13" s="246" t="s">
        <v>162</v>
      </c>
    </row>
    <row r="14" ht="30">
      <c r="I14" s="126">
        <f>H9</f>
        <v>123</v>
      </c>
    </row>
    <row r="15" spans="1:13" ht="30">
      <c r="A15" s="301" t="s">
        <v>239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30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</row>
  </sheetData>
  <mergeCells count="1">
    <mergeCell ref="A15:M16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3">
      <selection activeCell="J8" sqref="J8"/>
    </sheetView>
  </sheetViews>
  <sheetFormatPr defaultColWidth="9.140625" defaultRowHeight="12.75"/>
  <cols>
    <col min="1" max="6" width="9.140625" style="126" customWidth="1"/>
    <col min="7" max="8" width="12.140625" style="126" bestFit="1" customWidth="1"/>
    <col min="9" max="9" width="9.57421875" style="126" bestFit="1" customWidth="1"/>
    <col min="10" max="10" width="15.140625" style="126" bestFit="1" customWidth="1"/>
    <col min="11" max="11" width="9.140625" style="126" customWidth="1"/>
    <col min="12" max="12" width="13.421875" style="126" bestFit="1" customWidth="1"/>
    <col min="13" max="16384" width="9.140625" style="126" customWidth="1"/>
  </cols>
  <sheetData>
    <row r="1" s="98" customFormat="1" ht="20.25">
      <c r="B1" s="234" t="s">
        <v>166</v>
      </c>
    </row>
    <row r="2" s="98" customFormat="1" ht="20.25"/>
    <row r="3" spans="8:12" ht="30">
      <c r="H3" s="95" t="s">
        <v>156</v>
      </c>
      <c r="I3" s="95"/>
      <c r="J3" s="95" t="s">
        <v>77</v>
      </c>
      <c r="K3" s="95"/>
      <c r="L3" s="95" t="s">
        <v>157</v>
      </c>
    </row>
    <row r="4" spans="8:12" ht="30">
      <c r="H4" s="129" t="s">
        <v>160</v>
      </c>
      <c r="I4" s="129"/>
      <c r="J4" s="130" t="s">
        <v>53</v>
      </c>
      <c r="K4" s="129"/>
      <c r="L4" s="129" t="s">
        <v>54</v>
      </c>
    </row>
    <row r="5" spans="2:12" ht="30">
      <c r="B5" s="126" t="s">
        <v>158</v>
      </c>
      <c r="H5" s="139">
        <v>495</v>
      </c>
      <c r="I5" s="139"/>
      <c r="J5" s="140">
        <v>1.14</v>
      </c>
      <c r="L5" s="132">
        <f>H5*J5</f>
        <v>564.3</v>
      </c>
    </row>
    <row r="6" spans="8:12" s="43" customFormat="1" ht="15.75">
      <c r="H6" s="87"/>
      <c r="I6" s="87"/>
      <c r="J6" s="58"/>
      <c r="L6" s="99"/>
    </row>
    <row r="7" spans="2:12" ht="30">
      <c r="B7" s="126" t="s">
        <v>159</v>
      </c>
      <c r="H7" s="139">
        <v>618</v>
      </c>
      <c r="I7" s="139"/>
      <c r="J7" s="140">
        <v>1.14</v>
      </c>
      <c r="L7" s="132">
        <f>H7*J7</f>
        <v>704.52</v>
      </c>
    </row>
    <row r="8" spans="10:12" s="43" customFormat="1" ht="15.75">
      <c r="J8" s="44"/>
      <c r="L8" s="99"/>
    </row>
    <row r="9" spans="2:12" ht="30">
      <c r="B9" s="126" t="s">
        <v>78</v>
      </c>
      <c r="H9" s="126">
        <f>H7-H5</f>
        <v>123</v>
      </c>
      <c r="J9" s="131">
        <f>J7-J5</f>
        <v>0</v>
      </c>
      <c r="L9" s="132">
        <f>L7-L5</f>
        <v>140.22000000000003</v>
      </c>
    </row>
    <row r="10" spans="2:13" s="43" customFormat="1" ht="15.75"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3:13" ht="30">
      <c r="C11" s="136" t="s">
        <v>163</v>
      </c>
      <c r="D11" s="136"/>
      <c r="E11" s="136"/>
      <c r="F11" s="136"/>
      <c r="G11" s="128" t="s">
        <v>161</v>
      </c>
      <c r="H11" s="132">
        <f>L7</f>
        <v>704.52</v>
      </c>
      <c r="I11" s="128" t="s">
        <v>17</v>
      </c>
      <c r="J11" s="132">
        <f>L5</f>
        <v>564.3</v>
      </c>
      <c r="K11" s="128" t="s">
        <v>161</v>
      </c>
      <c r="L11" s="132">
        <f>H11-J11</f>
        <v>140.22000000000003</v>
      </c>
      <c r="M11" s="127" t="s">
        <v>164</v>
      </c>
    </row>
    <row r="12" spans="3:11" ht="30">
      <c r="C12" s="136"/>
      <c r="D12" s="136"/>
      <c r="E12" s="136"/>
      <c r="F12" s="136"/>
      <c r="G12" s="95"/>
      <c r="I12" s="95"/>
      <c r="K12" s="95"/>
    </row>
    <row r="13" spans="3:13" ht="30.75" thickBot="1">
      <c r="C13" s="136" t="s">
        <v>165</v>
      </c>
      <c r="D13" s="136"/>
      <c r="E13" s="136"/>
      <c r="F13" s="137"/>
      <c r="G13" s="128" t="s">
        <v>161</v>
      </c>
      <c r="H13" s="133">
        <f>L7</f>
        <v>704.52</v>
      </c>
      <c r="I13" s="135" t="s">
        <v>17</v>
      </c>
      <c r="J13" s="134">
        <f>L5</f>
        <v>564.3</v>
      </c>
      <c r="K13" s="128" t="s">
        <v>161</v>
      </c>
      <c r="L13" s="185">
        <f>(H13-J13)/I14</f>
        <v>1.1400000000000001</v>
      </c>
      <c r="M13" s="246" t="s">
        <v>162</v>
      </c>
    </row>
    <row r="14" ht="30">
      <c r="I14" s="126">
        <f>H9</f>
        <v>123</v>
      </c>
    </row>
    <row r="15" spans="1:13" ht="30">
      <c r="A15" s="301" t="s">
        <v>239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30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</row>
  </sheetData>
  <mergeCells count="1">
    <mergeCell ref="A15:M16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ACES, CoAg, AAES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</dc:creator>
  <cp:keywords/>
  <dc:description/>
  <cp:lastModifiedBy>PREVAJW</cp:lastModifiedBy>
  <cp:lastPrinted>2008-02-19T21:42:41Z</cp:lastPrinted>
  <dcterms:created xsi:type="dcterms:W3CDTF">2007-03-05T17:34:49Z</dcterms:created>
  <dcterms:modified xsi:type="dcterms:W3CDTF">2008-02-20T22:02:11Z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